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OT CASH" sheetId="1" r:id="rId1"/>
    <sheet name="DEFFERED 20% SPOT" sheetId="2" r:id="rId2"/>
    <sheet name="10-10-60MOS " sheetId="3" r:id="rId3"/>
  </sheets>
  <externalReferences>
    <externalReference r:id="rId6"/>
  </externalReferences>
  <definedNames>
    <definedName name="ACServiceFee" localSheetId="2">'10-10-60MOS '!$G$29</definedName>
    <definedName name="ACServiceFee" localSheetId="1">'DEFFERED 20% SPOT'!$G$28</definedName>
    <definedName name="ACServiceFee" localSheetId="0">'SPOT CASH'!$G$28</definedName>
    <definedName name="ACServiceFee">#REF!</definedName>
    <definedName name="AllowedDefMonths" localSheetId="2">'10-10-60MOS '!$G$6</definedName>
    <definedName name="AllowedDefMonths" localSheetId="1">'DEFFERED 20% SPOT'!$G$5</definedName>
    <definedName name="AllowedDefMonths">#REF!</definedName>
    <definedName name="BookingDiscount" localSheetId="2">'10-10-60MOS '!$G$17</definedName>
    <definedName name="BookingDiscount" localSheetId="1">'DEFFERED 20% SPOT'!$G$16</definedName>
    <definedName name="BookingDiscount" localSheetId="0">'SPOT CASH'!$G$16</definedName>
    <definedName name="BookingDiscount">#REF!</definedName>
    <definedName name="BulkDiscount" localSheetId="2">'10-10-60MOS '!$G$20</definedName>
    <definedName name="BulkDiscount" localSheetId="1">'DEFFERED 20% SPOT'!$G$19</definedName>
    <definedName name="BulkDiscount" localSheetId="0">'SPOT CASH'!$G$19</definedName>
    <definedName name="BulkDiscount">#REF!</definedName>
    <definedName name="CommittedSalesDiscount" localSheetId="2">'10-10-60MOS '!$G$16</definedName>
    <definedName name="CommittedSalesDiscount" localSheetId="1">'DEFFERED 20% SPOT'!$G$15</definedName>
    <definedName name="CommittedSalesDiscount" localSheetId="0">'SPOT CASH'!$G$15</definedName>
    <definedName name="CommittedSalesDiscount">#REF!</definedName>
    <definedName name="Discount1Desc" localSheetId="2">'10-10-60MOS '!$B$22</definedName>
    <definedName name="Discount1Desc" localSheetId="1">'DEFFERED 20% SPOT'!$B$21</definedName>
    <definedName name="Discount1Desc" localSheetId="0">'SPOT CASH'!$B$21</definedName>
    <definedName name="Discount1Desc">#REF!</definedName>
    <definedName name="Discount1Value" localSheetId="2">'10-10-60MOS '!$G$22</definedName>
    <definedName name="Discount1Value" localSheetId="1">'DEFFERED 20% SPOT'!$G$21</definedName>
    <definedName name="Discount1Value" localSheetId="0">'SPOT CASH'!$G$21</definedName>
    <definedName name="Discount1Value">#REF!</definedName>
    <definedName name="Discount2Desc" localSheetId="2">'10-10-60MOS '!$B$23</definedName>
    <definedName name="Discount2Desc" localSheetId="1">'DEFFERED 20% SPOT'!$B$22</definedName>
    <definedName name="Discount2Desc" localSheetId="0">'SPOT CASH'!$B$22</definedName>
    <definedName name="Discount2Desc">#REF!</definedName>
    <definedName name="Discount2Value" localSheetId="2">'10-10-60MOS '!$G$23</definedName>
    <definedName name="Discount2Value" localSheetId="1">'DEFFERED 20% SPOT'!$G$22</definedName>
    <definedName name="Discount2Value" localSheetId="0">'SPOT CASH'!$G$22</definedName>
    <definedName name="Discount2Value">#REF!</definedName>
    <definedName name="Downpayment" localSheetId="2">'10-10-60MOS '!$A$34</definedName>
    <definedName name="Downpayment" localSheetId="1">'DEFFERED 20% SPOT'!$A$33</definedName>
    <definedName name="Downpayment" localSheetId="0">'SPOT CASH'!$C$33</definedName>
    <definedName name="Downpayment">#REF!</definedName>
    <definedName name="DPDate" localSheetId="2">'10-10-60MOS '!$F$42</definedName>
    <definedName name="DPDate" localSheetId="1">'DEFFERED 20% SPOT'!$F$36</definedName>
    <definedName name="DPDate" localSheetId="0">'SPOT CASH'!$E$32</definedName>
    <definedName name="DPDate">#REF!</definedName>
    <definedName name="EmployeeDiscount" localSheetId="2">'10-10-60MOS '!$G$19</definedName>
    <definedName name="EmployeeDiscount" localSheetId="1">'DEFFERED 20% SPOT'!$G$18</definedName>
    <definedName name="EmployeeDiscount" localSheetId="0">'SPOT CASH'!$G$18</definedName>
    <definedName name="EmployeeDiscount">#REF!</definedName>
    <definedName name="Floor" localSheetId="2">'10-10-60MOS '!$C$8</definedName>
    <definedName name="Floor" localSheetId="1">'DEFFERED 20% SPOT'!$C$7</definedName>
    <definedName name="Floor" localSheetId="0">'SPOT CASH'!$C$7</definedName>
    <definedName name="Floor">#REF!</definedName>
    <definedName name="FloorArea" localSheetId="2">'10-10-60MOS '!$D$8</definedName>
    <definedName name="FloorArea" localSheetId="1">'DEFFERED 20% SPOT'!$D$7</definedName>
    <definedName name="FloorArea" localSheetId="0">'SPOT CASH'!$D$7</definedName>
    <definedName name="FloorArea">#REF!</definedName>
    <definedName name="LumpOCDate" localSheetId="2">'10-10-60MOS '!$B$25</definedName>
    <definedName name="LumpOCDate" localSheetId="1">'DEFFERED 20% SPOT'!$F$40</definedName>
    <definedName name="LumpOCDate" localSheetId="0">'SPOT CASH'!$B$24</definedName>
    <definedName name="LumpOCDate">#REF!</definedName>
    <definedName name="Mode" localSheetId="2">'10-10-60MOS '!$D$5</definedName>
    <definedName name="Mode" localSheetId="1">'DEFFERED 20% SPOT'!$D$4</definedName>
    <definedName name="Mode" localSheetId="0">'SPOT CASH'!$D$4</definedName>
    <definedName name="Mode">#REF!</definedName>
    <definedName name="Model" localSheetId="2">'10-10-60MOS '!$F$8</definedName>
    <definedName name="Model" localSheetId="1">'DEFFERED 20% SPOT'!$F$7</definedName>
    <definedName name="Model" localSheetId="0">'SPOT CASH'!$F$7</definedName>
    <definedName name="Model">#REF!</definedName>
    <definedName name="NoDPSchedule" localSheetId="2">'10-10-60MOS '!$A$48</definedName>
    <definedName name="NoDPSchedule" localSheetId="1">'DEFFERED 20% SPOT'!$A$43</definedName>
    <definedName name="NoDPSchedule" localSheetId="0">'SPOT CASH'!$B$33</definedName>
    <definedName name="NoDPSchedule">#REF!</definedName>
    <definedName name="Note1" localSheetId="2">'10-10-60MOS '!$A$117</definedName>
    <definedName name="Note1" localSheetId="1">'DEFFERED 20% SPOT'!$A$106</definedName>
    <definedName name="Note1" localSheetId="0">'SPOT CASH'!$A$39</definedName>
    <definedName name="Note1">#REF!</definedName>
    <definedName name="OtherBSDiscount" localSheetId="2">'10-10-60MOS '!$G$18</definedName>
    <definedName name="OtherBSDiscount" localSheetId="1">'DEFFERED 20% SPOT'!$G$17</definedName>
    <definedName name="OtherBSDiscount" localSheetId="0">'SPOT CASH'!$G$17</definedName>
    <definedName name="OtherBSDiscount">#REF!</definedName>
    <definedName name="OtherChargesPercentage" localSheetId="2">'10-10-60MOS '!$A$27</definedName>
    <definedName name="OtherChargesPercentage" localSheetId="1">'DEFFERED 20% SPOT'!$A$26</definedName>
    <definedName name="OtherChargesPercentage" localSheetId="0">'SPOT CASH'!$A$26</definedName>
    <definedName name="OtherChargesPercentage">#REF!</definedName>
    <definedName name="OtherDiscount" localSheetId="2">'10-10-60MOS '!$G$21</definedName>
    <definedName name="OtherDiscount" localSheetId="1">'DEFFERED 20% SPOT'!$G$20</definedName>
    <definedName name="OtherDiscount" localSheetId="0">'SPOT CASH'!$G$20</definedName>
    <definedName name="OtherDiscount">#REF!</definedName>
    <definedName name="OtherRSDiscount" localSheetId="2">'10-10-60MOS '!$G$15</definedName>
    <definedName name="OtherRSDiscount" localSheetId="1">'DEFFERED 20% SPOT'!$G$14</definedName>
    <definedName name="OtherRSDiscount" localSheetId="0">'SPOT CASH'!$G$14</definedName>
    <definedName name="OtherRSDiscount">#REF!</definedName>
    <definedName name="Payee" localSheetId="2">'10-10-60MOS '!$A$126</definedName>
    <definedName name="Payee" localSheetId="1">'DEFFERED 20% SPOT'!$A$115</definedName>
    <definedName name="Payee" localSheetId="0">'SPOT CASH'!$A$48</definedName>
    <definedName name="Payee">#REF!</definedName>
    <definedName name="PercentageDiscount" localSheetId="2">'10-10-60MOS '!$A$13</definedName>
    <definedName name="PercentageDiscount" localSheetId="1">'DEFFERED 20% SPOT'!$A$12</definedName>
    <definedName name="PercentageDiscount" localSheetId="0">'SPOT CASH'!$A$12</definedName>
    <definedName name="PercentageDiscount">#REF!</definedName>
    <definedName name="_xlnm.Print_Area" localSheetId="1">'DEFFERED 20% SPOT'!$A$1:$G$116</definedName>
    <definedName name="ProjectDateCompletion" localSheetId="2">#REF!</definedName>
    <definedName name="ProjectDateCompletion" localSheetId="0">'SPOT CASH'!$G$5</definedName>
    <definedName name="ProjectDateCompletion">#REF!</definedName>
    <definedName name="ProjectName" localSheetId="2">'10-10-60MOS '!$A$4</definedName>
    <definedName name="ProjectName" localSheetId="1">'DEFFERED 20% SPOT'!$A$3</definedName>
    <definedName name="ProjectName" localSheetId="0">'SPOT CASH'!$A$3</definedName>
    <definedName name="ProjectName">#REF!</definedName>
    <definedName name="ReservationDate" localSheetId="2">'10-10-60MOS '!$F$37</definedName>
    <definedName name="ReservationDate" localSheetId="1">'DEFFERED 20% SPOT'!$F$31</definedName>
    <definedName name="ReservationDate" localSheetId="0">'SPOT CASH'!$E$31</definedName>
    <definedName name="ReservationDate">#REF!</definedName>
    <definedName name="ReservationDiscount" localSheetId="2">'10-10-60MOS '!$G$14</definedName>
    <definedName name="ReservationDiscount" localSheetId="1">'DEFFERED 20% SPOT'!$G$13</definedName>
    <definedName name="ReservationDiscount" localSheetId="0">'SPOT CASH'!$G$13</definedName>
    <definedName name="ReservationDiscount">#REF!</definedName>
    <definedName name="ReservationFee" localSheetId="2">'10-10-60MOS '!$G$37</definedName>
    <definedName name="ReservationFee" localSheetId="1">'DEFFERED 20% SPOT'!$G$31</definedName>
    <definedName name="ReservationFee" localSheetId="0">'SPOT CASH'!$G$31</definedName>
    <definedName name="ReservationFee">#REF!</definedName>
    <definedName name="SellingPrice" localSheetId="2">'10-10-60MOS '!$G$11</definedName>
    <definedName name="SellingPrice" localSheetId="1">'DEFFERED 20% SPOT'!$G$10</definedName>
    <definedName name="SellingPrice" localSheetId="0">'SPOT CASH'!$G$10</definedName>
    <definedName name="SellingPrice">#REF!</definedName>
    <definedName name="ServiceFee" localSheetId="2">'10-10-60MOS '!$G$28</definedName>
    <definedName name="ServiceFee" localSheetId="1">'DEFFERED 20% SPOT'!$G$27</definedName>
    <definedName name="ServiceFee" localSheetId="0">'SPOT CASH'!$G$27</definedName>
    <definedName name="ServiceFee">#REF!</definedName>
    <definedName name="SpotDownpayment" localSheetId="2">'10-10-60MOS '!$A$40</definedName>
    <definedName name="SpotDownpayment" localSheetId="1">'DEFFERED 20% SPOT'!$A$35</definedName>
    <definedName name="SpotDownpayment" localSheetId="0">'SPOT CASH'!$A$33</definedName>
    <definedName name="SpotDownpayment">#REF!</definedName>
    <definedName name="StandardDiscount" localSheetId="2">'10-10-60MOS '!$G$13</definedName>
    <definedName name="StandardDiscount" localSheetId="1">'DEFFERED 20% SPOT'!$G$12</definedName>
    <definedName name="StandardDiscount" localSheetId="0">'SPOT CASH'!$G$12</definedName>
    <definedName name="StandardDiscount">#REF!</definedName>
    <definedName name="TotalOtherCharges" localSheetId="2">'10-10-60MOS '!$G$27</definedName>
    <definedName name="TotalOtherCharges" localSheetId="1">'DEFFERED 20% SPOT'!$G$26</definedName>
    <definedName name="TotalOtherCharges" localSheetId="0">'SPOT CASH'!$G$26</definedName>
    <definedName name="TotalOtherCharges">#REF!</definedName>
    <definedName name="Tower" localSheetId="2">'10-10-60MOS '!$A$8</definedName>
    <definedName name="Tower" localSheetId="1">'DEFFERED 20% SPOT'!$A$7</definedName>
    <definedName name="Tower" localSheetId="0">'SPOT CASH'!$A$7</definedName>
    <definedName name="Tower">#REF!</definedName>
    <definedName name="Unit" localSheetId="2">'10-10-60MOS '!$B$8</definedName>
    <definedName name="Unit" localSheetId="1">'DEFFERED 20% SPOT'!$B$7</definedName>
    <definedName name="Unit" localSheetId="0">'SPOT CASH'!$B$7</definedName>
    <definedName name="Unit">#REF!</definedName>
  </definedNames>
  <calcPr fullCalcOnLoad="1"/>
</workbook>
</file>

<file path=xl/sharedStrings.xml><?xml version="1.0" encoding="utf-8"?>
<sst xmlns="http://schemas.openxmlformats.org/spreadsheetml/2006/main" count="298" uniqueCount="127">
  <si>
    <t>AVIDA LAND CORP.</t>
  </si>
  <si>
    <t>CUSTOMER SERVICE UNIT</t>
  </si>
  <si>
    <t>Tower</t>
  </si>
  <si>
    <t>Unit</t>
  </si>
  <si>
    <t>Floor</t>
  </si>
  <si>
    <t>Floor Area</t>
  </si>
  <si>
    <t>Model</t>
  </si>
  <si>
    <t>STUDIO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</si>
  <si>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</si>
  <si>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</si>
  <si>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</si>
  <si>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</si>
  <si>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</si>
  <si>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</si>
  <si>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</si>
  <si>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</si>
  <si>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20days docs submission from RS date</t>
  </si>
  <si>
    <t>Other BS Discount</t>
  </si>
  <si>
    <t>Employee Discount</t>
  </si>
  <si>
    <t>Bulk Discount</t>
  </si>
  <si>
    <t>Other Discounts</t>
  </si>
  <si>
    <t>Local Buyer Discount</t>
  </si>
  <si>
    <t>Add:</t>
  </si>
  <si>
    <t>Other Charges</t>
  </si>
  <si>
    <t>Service Fee</t>
  </si>
  <si>
    <t>AC Service Fee</t>
  </si>
  <si>
    <t>TOTAL RECEIVABLE</t>
  </si>
  <si>
    <t>DOWNPAYMENT</t>
  </si>
  <si>
    <t>Reservation Fee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</si>
  <si>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</si>
  <si>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</si>
  <si>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</si>
  <si>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</si>
  <si>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</si>
  <si>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</si>
  <si>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</si>
  <si>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</si>
  <si>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</si>
  <si>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</si>
  <si>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</si>
  <si>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</si>
  <si>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</si>
  <si>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</si>
  <si>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</si>
  <si>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</si>
  <si>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</si>
  <si>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</si>
  <si>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</si>
  <si>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</si>
  <si>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</si>
  <si>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</si>
  <si>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</si>
  <si>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</si>
  <si>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</si>
  <si>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</si>
  <si>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</si>
  <si>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</si>
  <si>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</si>
  <si>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</si>
  <si>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</si>
  <si>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</si>
  <si>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</si>
  <si>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</si>
  <si>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</si>
  <si>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</si>
  <si>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</si>
  <si>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</si>
  <si>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</si>
  <si>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</si>
  <si>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NOTE: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</si>
  <si>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</si>
  <si>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</si>
  <si>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</si>
  <si>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</si>
  <si>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</si>
  <si>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</si>
  <si>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</si>
  <si>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</si>
  <si>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SPOT CASH</t>
  </si>
  <si>
    <t>SAMPLE COMPUTATION ONLY</t>
  </si>
  <si>
    <t>Discount 1</t>
  </si>
  <si>
    <t>NET SELLING PRICE</t>
  </si>
  <si>
    <t>BALANCE DUE AND PAYABLE:</t>
  </si>
  <si>
    <t>Spot Downpayment of 95% for principal and OC due and payable on:</t>
  </si>
  <si>
    <t>Balance of 5% for principal and OC due and payable on:</t>
  </si>
  <si>
    <t>DEFERRED CASH</t>
  </si>
  <si>
    <t>SCHEDULE OF BALANCE AND DOWNPAYMENT</t>
  </si>
  <si>
    <t>Total Spot DP payable on or before:</t>
  </si>
  <si>
    <t>BALANCE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</si>
  <si>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</si>
  <si>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</si>
  <si>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</si>
  <si>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</si>
  <si>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</si>
  <si>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</si>
  <si>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</si>
  <si>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</si>
  <si>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</si>
  <si>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</si>
  <si>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</si>
  <si>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</si>
  <si>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</si>
  <si>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</si>
  <si>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</si>
  <si>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</si>
  <si>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53rd Downpayment due on</t>
  </si>
  <si>
    <t>54th Downpayment due on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</si>
  <si>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</si>
  <si>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</si>
  <si>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</si>
  <si>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</si>
  <si>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</si>
  <si>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</si>
  <si>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AVIDA TOWERS ARDANE</t>
  </si>
  <si>
    <t>1.   In the event of an increase in Other Charges, AVIDA LAND CORP. has the right to charge the</t>
  </si>
  <si>
    <t>5.   All payments covering the due dates and amounts above should be made payable to AVIDA LAND CORP.</t>
  </si>
  <si>
    <t>4% Discount on Net Selling price</t>
  </si>
  <si>
    <t>SPECIAL PROMO PAYTERM ONLY UNTIL JAN. 31, 2020</t>
  </si>
  <si>
    <t>SELLING PRICE AFTER DISCOUNTS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</si>
  <si>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</si>
  <si>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</si>
  <si>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</si>
  <si>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</si>
  <si>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PAYMENT SCHEDULE: BALANCE</t>
  </si>
  <si>
    <t>Bank Guarantee must be submitted on or before</t>
  </si>
  <si>
    <t>DUE AND PAYABLE ON</t>
  </si>
  <si>
    <t>(Loanable from a Financing Institution)</t>
  </si>
</sst>
</file>

<file path=xl/styles.xml><?xml version="1.0" encoding="utf-8"?>
<styleSheet xmlns="http://schemas.openxmlformats.org/spreadsheetml/2006/main">
  <numFmts count="2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_(* #,##0.0000_);_(* \(#,##0.0000\);_(* &quot;-&quot;??_);_(@_)"/>
    <numFmt numFmtId="180" formatCode="_(\P\ * #,##0.00_);_(\P\ * \(#,##0.00\);_(\P\ * &quot;-&quot;??_);_(@_)"/>
  </numFmts>
  <fonts count="48">
    <font>
      <sz val="10"/>
      <color indexed="8"/>
      <name val="Courier New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7" fillId="33" borderId="0" xfId="55" applyNumberFormat="1" applyFont="1" applyFill="1" applyBorder="1" applyAlignment="1" applyProtection="1">
      <alignment/>
      <protection/>
    </xf>
    <xf numFmtId="0" fontId="2" fillId="33" borderId="0" xfId="55" applyNumberFormat="1" applyFont="1" applyFill="1" applyBorder="1" applyAlignment="1" applyProtection="1">
      <alignment horizontal="left"/>
      <protection/>
    </xf>
    <xf numFmtId="0" fontId="2" fillId="33" borderId="0" xfId="55" applyNumberFormat="1" applyFont="1" applyFill="1" applyBorder="1" applyAlignment="1" applyProtection="1">
      <alignment/>
      <protection/>
    </xf>
    <xf numFmtId="0" fontId="7" fillId="33" borderId="0" xfId="55" applyNumberFormat="1" applyFont="1" applyFill="1" applyBorder="1" applyAlignment="1" applyProtection="1">
      <alignment horizontal="right"/>
      <protection/>
    </xf>
    <xf numFmtId="43" fontId="7" fillId="33" borderId="0" xfId="55" applyNumberFormat="1" applyFont="1" applyFill="1" applyBorder="1" applyAlignment="1" applyProtection="1">
      <alignment horizontal="right"/>
      <protection/>
    </xf>
    <xf numFmtId="0" fontId="47" fillId="0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/>
      <protection/>
    </xf>
    <xf numFmtId="0" fontId="2" fillId="0" borderId="11" xfId="55" applyNumberFormat="1" applyFont="1" applyFill="1" applyBorder="1" applyAlignment="1" applyProtection="1">
      <alignment/>
      <protection/>
    </xf>
    <xf numFmtId="0" fontId="2" fillId="0" borderId="12" xfId="55" applyNumberFormat="1" applyFont="1" applyFill="1" applyBorder="1" applyAlignment="1" applyProtection="1">
      <alignment/>
      <protection/>
    </xf>
    <xf numFmtId="0" fontId="2" fillId="0" borderId="13" xfId="55" applyNumberFormat="1" applyFont="1" applyFill="1" applyBorder="1" applyAlignment="1" applyProtection="1">
      <alignment/>
      <protection/>
    </xf>
    <xf numFmtId="172" fontId="2" fillId="0" borderId="14" xfId="55" applyNumberFormat="1" applyFont="1" applyFill="1" applyBorder="1" applyAlignment="1" applyProtection="1">
      <alignment/>
      <protection/>
    </xf>
    <xf numFmtId="0" fontId="2" fillId="0" borderId="15" xfId="55" applyNumberFormat="1" applyFont="1" applyFill="1" applyBorder="1" applyAlignment="1" applyProtection="1">
      <alignment/>
      <protection/>
    </xf>
    <xf numFmtId="0" fontId="7" fillId="0" borderId="15" xfId="55" applyNumberFormat="1" applyFont="1" applyFill="1" applyBorder="1" applyAlignment="1" applyProtection="1">
      <alignment horizontal="center"/>
      <protection/>
    </xf>
    <xf numFmtId="0" fontId="2" fillId="0" borderId="16" xfId="55" applyNumberFormat="1" applyFont="1" applyFill="1" applyBorder="1" applyAlignment="1" applyProtection="1">
      <alignment/>
      <protection/>
    </xf>
    <xf numFmtId="14" fontId="6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0" fontId="7" fillId="0" borderId="0" xfId="55" applyNumberFormat="1" applyFont="1" applyFill="1" applyBorder="1" applyAlignment="1" applyProtection="1">
      <alignment horizontal="right"/>
      <protection/>
    </xf>
    <xf numFmtId="43" fontId="2" fillId="0" borderId="0" xfId="55" applyNumberFormat="1" applyFont="1" applyFill="1" applyBorder="1" applyAlignment="1" applyProtection="1">
      <alignment horizontal="right"/>
      <protection/>
    </xf>
    <xf numFmtId="172" fontId="2" fillId="0" borderId="0" xfId="55" applyNumberFormat="1" applyFont="1" applyFill="1" applyBorder="1" applyAlignment="1" applyProtection="1">
      <alignment/>
      <protection/>
    </xf>
    <xf numFmtId="43" fontId="2" fillId="0" borderId="0" xfId="55" applyNumberFormat="1" applyFont="1" applyFill="1" applyBorder="1" applyAlignment="1" applyProtection="1">
      <alignment/>
      <protection/>
    </xf>
    <xf numFmtId="43" fontId="7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172" fontId="7" fillId="0" borderId="0" xfId="55" applyNumberFormat="1" applyFont="1" applyFill="1" applyBorder="1" applyAlignment="1" applyProtection="1">
      <alignment/>
      <protection/>
    </xf>
    <xf numFmtId="173" fontId="2" fillId="0" borderId="0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173" fontId="8" fillId="0" borderId="0" xfId="55" applyNumberFormat="1" applyFont="1" applyFill="1" applyBorder="1" applyAlignment="1" applyProtection="1">
      <alignment horizontal="center" vertical="center" wrapText="1"/>
      <protection/>
    </xf>
    <xf numFmtId="176" fontId="8" fillId="0" borderId="0" xfId="55" applyNumberFormat="1" applyFont="1" applyFill="1" applyBorder="1" applyAlignment="1" applyProtection="1">
      <alignment horizontal="center" vertical="center" wrapText="1"/>
      <protection/>
    </xf>
    <xf numFmtId="173" fontId="2" fillId="0" borderId="0" xfId="55" applyNumberFormat="1" applyFont="1" applyFill="1" applyBorder="1" applyAlignment="1" applyProtection="1">
      <alignment horizontal="center" vertical="center"/>
      <protection/>
    </xf>
    <xf numFmtId="43" fontId="2" fillId="0" borderId="0" xfId="55" applyNumberFormat="1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right"/>
      <protection/>
    </xf>
    <xf numFmtId="176" fontId="7" fillId="0" borderId="0" xfId="55" applyNumberFormat="1" applyFont="1" applyFill="1" applyBorder="1" applyAlignment="1" applyProtection="1">
      <alignment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 horizontal="left"/>
      <protection/>
    </xf>
    <xf numFmtId="0" fontId="2" fillId="0" borderId="14" xfId="55" applyNumberFormat="1" applyFont="1" applyFill="1" applyBorder="1" applyAlignment="1" applyProtection="1">
      <alignment/>
      <protection/>
    </xf>
    <xf numFmtId="172" fontId="2" fillId="33" borderId="0" xfId="55" applyNumberFormat="1" applyFont="1" applyFill="1" applyBorder="1" applyAlignment="1" applyProtection="1">
      <alignment/>
      <protection/>
    </xf>
    <xf numFmtId="43" fontId="7" fillId="33" borderId="17" xfId="55" applyNumberFormat="1" applyFont="1" applyFill="1" applyBorder="1" applyAlignment="1" applyProtection="1">
      <alignment/>
      <protection/>
    </xf>
    <xf numFmtId="0" fontId="7" fillId="33" borderId="0" xfId="55" applyNumberFormat="1" applyFont="1" applyFill="1" applyBorder="1" applyAlignment="1" applyProtection="1">
      <alignment/>
      <protection hidden="1"/>
    </xf>
    <xf numFmtId="173" fontId="2" fillId="33" borderId="0" xfId="55" applyNumberFormat="1" applyFont="1" applyFill="1" applyBorder="1" applyAlignment="1" applyProtection="1">
      <alignment horizontal="center"/>
      <protection/>
    </xf>
    <xf numFmtId="0" fontId="10" fillId="0" borderId="0" xfId="55" applyNumberFormat="1" applyFont="1" applyFill="1" applyBorder="1" applyAlignment="1" applyProtection="1">
      <alignment horizontal="right"/>
      <protection/>
    </xf>
    <xf numFmtId="180" fontId="7" fillId="0" borderId="0" xfId="55" applyNumberFormat="1" applyFont="1" applyFill="1" applyBorder="1" applyAlignment="1" applyProtection="1">
      <alignment/>
      <protection/>
    </xf>
    <xf numFmtId="0" fontId="2" fillId="34" borderId="0" xfId="55" applyNumberFormat="1" applyFont="1" applyFill="1" applyBorder="1" applyAlignment="1" applyProtection="1">
      <alignment/>
      <protection/>
    </xf>
    <xf numFmtId="173" fontId="2" fillId="34" borderId="0" xfId="55" applyNumberFormat="1" applyFont="1" applyFill="1" applyBorder="1" applyAlignment="1" applyProtection="1">
      <alignment horizontal="center"/>
      <protection/>
    </xf>
    <xf numFmtId="43" fontId="2" fillId="34" borderId="0" xfId="55" applyNumberFormat="1" applyFont="1" applyFill="1" applyBorder="1" applyAlignment="1" applyProtection="1">
      <alignment/>
      <protection/>
    </xf>
    <xf numFmtId="174" fontId="2" fillId="0" borderId="0" xfId="55" applyNumberFormat="1" applyFont="1" applyFill="1" applyBorder="1" applyAlignment="1" applyProtection="1">
      <alignment/>
      <protection/>
    </xf>
    <xf numFmtId="175" fontId="7" fillId="0" borderId="17" xfId="55" applyNumberFormat="1" applyFont="1" applyFill="1" applyBorder="1" applyAlignment="1" applyProtection="1">
      <alignment/>
      <protection/>
    </xf>
    <xf numFmtId="175" fontId="7" fillId="0" borderId="0" xfId="55" applyNumberFormat="1" applyFont="1" applyFill="1" applyBorder="1" applyAlignment="1" applyProtection="1">
      <alignment/>
      <protection/>
    </xf>
    <xf numFmtId="0" fontId="10" fillId="0" borderId="0" xfId="55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47" fillId="0" borderId="0" xfId="55" applyFont="1">
      <alignment/>
      <protection/>
    </xf>
    <xf numFmtId="0" fontId="2" fillId="0" borderId="0" xfId="55" applyFont="1">
      <alignment/>
      <protection/>
    </xf>
    <xf numFmtId="43" fontId="7" fillId="0" borderId="0" xfId="0" applyNumberFormat="1" applyFont="1" applyAlignment="1">
      <alignment/>
    </xf>
    <xf numFmtId="0" fontId="7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2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43" fontId="7" fillId="33" borderId="0" xfId="55" applyNumberFormat="1" applyFont="1" applyFill="1" applyAlignment="1">
      <alignment horizontal="right"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8" fillId="0" borderId="0" xfId="0" applyFont="1" applyAlignment="1">
      <alignment/>
    </xf>
    <xf numFmtId="175" fontId="7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indent="2"/>
    </xf>
    <xf numFmtId="173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55" applyFont="1" applyAlignment="1">
      <alignment horizontal="left"/>
      <protection/>
    </xf>
    <xf numFmtId="0" fontId="11" fillId="0" borderId="0" xfId="55" applyFont="1">
      <alignment/>
      <protection/>
    </xf>
    <xf numFmtId="0" fontId="11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NumberFormat="1" applyFont="1" applyFill="1" applyBorder="1" applyAlignment="1" applyProtection="1">
      <alignment horizontal="left"/>
      <protection/>
    </xf>
    <xf numFmtId="0" fontId="3" fillId="0" borderId="17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0" fontId="5" fillId="0" borderId="12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13" xfId="55" applyNumberFormat="1" applyFont="1" applyFill="1" applyBorder="1" applyAlignment="1" applyProtection="1">
      <alignment horizontal="center" vertical="center"/>
      <protection/>
    </xf>
    <xf numFmtId="0" fontId="7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right" indent="2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Alignment="1">
      <alignment horizontal="left"/>
      <protection/>
    </xf>
    <xf numFmtId="0" fontId="2" fillId="0" borderId="0" xfId="0" applyFont="1" applyAlignment="1">
      <alignment horizontal="right" indent="2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lesteros.asther\AppData\Local\Microsoft\Windows\Temporary%20Internet%20Files\Content.Outlook\MVYJGCHM\AT%20ARDANE_LOCAL-%20STUD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 CASH"/>
      <sheetName val="DEFFERED 20% SPOT"/>
      <sheetName val="BANK FIN"/>
      <sheetName val="BANK FIN STRET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tabSelected="1" zoomScalePageLayoutView="0" workbookViewId="0" topLeftCell="A1">
      <selection activeCell="H3" sqref="H3"/>
    </sheetView>
  </sheetViews>
  <sheetFormatPr defaultColWidth="12.375" defaultRowHeight="12.75" customHeight="1"/>
  <cols>
    <col min="1" max="6" width="12.375" style="2" customWidth="1"/>
    <col min="7" max="7" width="18.875" style="2" customWidth="1"/>
    <col min="8" max="9" width="15.00390625" style="2" customWidth="1"/>
    <col min="10" max="10" width="14.125" style="2" customWidth="1"/>
    <col min="11" max="16384" width="12.375" style="2" customWidth="1"/>
  </cols>
  <sheetData>
    <row r="1" spans="1:7" ht="14.25" customHeight="1" thickTop="1">
      <c r="A1" s="9" t="s">
        <v>78</v>
      </c>
      <c r="B1" s="105" t="s">
        <v>0</v>
      </c>
      <c r="C1" s="105"/>
      <c r="D1" s="105"/>
      <c r="E1" s="105"/>
      <c r="F1" s="105"/>
      <c r="G1" s="10"/>
    </row>
    <row r="2" spans="1:7" ht="14.25" customHeight="1">
      <c r="A2" s="11"/>
      <c r="B2" s="106" t="s">
        <v>1</v>
      </c>
      <c r="C2" s="106"/>
      <c r="D2" s="106"/>
      <c r="E2" s="106"/>
      <c r="F2" s="106"/>
      <c r="G2" s="12"/>
    </row>
    <row r="3" spans="1:7" ht="30" customHeight="1">
      <c r="A3" s="107" t="s">
        <v>113</v>
      </c>
      <c r="B3" s="108"/>
      <c r="C3" s="108"/>
      <c r="D3" s="108"/>
      <c r="E3" s="108"/>
      <c r="F3" s="108"/>
      <c r="G3" s="109"/>
    </row>
    <row r="4" spans="1:7" ht="13.5" customHeight="1" thickBot="1">
      <c r="A4" s="41"/>
      <c r="B4" s="14"/>
      <c r="C4" s="14"/>
      <c r="D4" s="15" t="s">
        <v>79</v>
      </c>
      <c r="E4" s="14"/>
      <c r="F4" s="14"/>
      <c r="G4" s="16"/>
    </row>
    <row r="5" ht="13.5" customHeight="1" thickTop="1">
      <c r="G5" s="22"/>
    </row>
    <row r="6" spans="1:7" ht="12.75">
      <c r="A6" s="18" t="s">
        <v>2</v>
      </c>
      <c r="B6" s="18" t="s">
        <v>3</v>
      </c>
      <c r="C6" s="18" t="s">
        <v>4</v>
      </c>
      <c r="D6" s="18" t="s">
        <v>5</v>
      </c>
      <c r="E6" s="18"/>
      <c r="F6" s="110" t="s">
        <v>6</v>
      </c>
      <c r="G6" s="110"/>
    </row>
    <row r="7" spans="1:7" ht="12.75">
      <c r="A7" s="1">
        <v>1</v>
      </c>
      <c r="B7" s="1">
        <v>610</v>
      </c>
      <c r="C7" s="1">
        <v>6</v>
      </c>
      <c r="D7" s="1">
        <v>22.4</v>
      </c>
      <c r="E7" s="1"/>
      <c r="F7" s="111" t="s">
        <v>7</v>
      </c>
      <c r="G7" s="111"/>
    </row>
    <row r="10" spans="1:7" ht="12.75">
      <c r="A10" s="3" t="s">
        <v>8</v>
      </c>
      <c r="B10" s="3"/>
      <c r="C10" s="4"/>
      <c r="D10" s="5"/>
      <c r="E10" s="5"/>
      <c r="F10" s="6" t="s">
        <v>9</v>
      </c>
      <c r="G10" s="7">
        <v>4425120</v>
      </c>
    </row>
    <row r="11" spans="1:7" ht="12.75">
      <c r="A11" s="2" t="s">
        <v>10</v>
      </c>
      <c r="B11" s="2" t="s">
        <v>11</v>
      </c>
      <c r="C11" s="19"/>
      <c r="F11" s="20"/>
      <c r="G11" s="21">
        <f>ROUND(IF(ISERROR(FIND("PARKING",Model,1)),IF(SellingPrice&gt;3199200,(G10-(G10/1.12)),0),(G10-(G10/1.12))),2)</f>
        <v>474120</v>
      </c>
    </row>
    <row r="12" spans="1:10" ht="12.75">
      <c r="A12" s="22">
        <v>10</v>
      </c>
      <c r="B12" s="2" t="str">
        <f>CONCATENATE(A12,"% Spot Cash Discount")</f>
        <v>10% Spot Cash Discount</v>
      </c>
      <c r="F12" s="20"/>
      <c r="G12" s="23">
        <f>((G10-G11)-Discount2Value)*(PercentageDiscount/100)</f>
        <v>395100</v>
      </c>
      <c r="I12" s="23"/>
      <c r="J12" s="23"/>
    </row>
    <row r="13" spans="2:10" ht="12.75" hidden="1">
      <c r="B13" s="2" t="s">
        <v>12</v>
      </c>
      <c r="G13" s="23">
        <v>0</v>
      </c>
      <c r="I13" s="23"/>
      <c r="J13" s="23"/>
    </row>
    <row r="14" spans="2:10" ht="12.75" hidden="1">
      <c r="B14" s="2" t="s">
        <v>13</v>
      </c>
      <c r="G14" s="23">
        <v>0</v>
      </c>
      <c r="I14" s="23"/>
      <c r="J14" s="23"/>
    </row>
    <row r="15" spans="2:9" ht="12.75" hidden="1">
      <c r="B15" s="2" t="s">
        <v>14</v>
      </c>
      <c r="G15" s="23">
        <v>0</v>
      </c>
      <c r="I15" s="23"/>
    </row>
    <row r="16" spans="2:9" ht="12.75" hidden="1">
      <c r="B16" s="2" t="s">
        <v>15</v>
      </c>
      <c r="D16" s="8" t="s">
        <v>16</v>
      </c>
      <c r="G16" s="23"/>
      <c r="I16" s="23"/>
    </row>
    <row r="17" spans="2:9" ht="12.75" hidden="1">
      <c r="B17" s="2" t="s">
        <v>17</v>
      </c>
      <c r="G17" s="23">
        <v>0</v>
      </c>
      <c r="I17" s="23"/>
    </row>
    <row r="18" spans="2:10" ht="12.75" hidden="1">
      <c r="B18" s="2" t="s">
        <v>18</v>
      </c>
      <c r="G18" s="23">
        <v>0</v>
      </c>
      <c r="H18" s="23"/>
      <c r="I18" s="23"/>
      <c r="J18" s="23"/>
    </row>
    <row r="19" spans="2:10" ht="12.75" hidden="1">
      <c r="B19" s="2" t="s">
        <v>19</v>
      </c>
      <c r="G19" s="23">
        <v>0</v>
      </c>
      <c r="J19" s="23"/>
    </row>
    <row r="20" spans="2:10" ht="12.75" hidden="1">
      <c r="B20" s="2" t="s">
        <v>20</v>
      </c>
      <c r="G20" s="23">
        <v>0</v>
      </c>
      <c r="J20" s="23"/>
    </row>
    <row r="21" spans="2:10" ht="12.75" hidden="1">
      <c r="B21" s="2" t="s">
        <v>80</v>
      </c>
      <c r="G21" s="23">
        <v>0</v>
      </c>
      <c r="J21" s="23"/>
    </row>
    <row r="22" spans="2:10" ht="12.75" hidden="1">
      <c r="B22" s="2" t="s">
        <v>21</v>
      </c>
      <c r="G22" s="23"/>
      <c r="J22" s="23"/>
    </row>
    <row r="23" spans="6:10" ht="13.5" customHeight="1" thickBot="1">
      <c r="F23" s="20"/>
      <c r="G23" s="24"/>
      <c r="J23" s="23"/>
    </row>
    <row r="24" spans="1:7" ht="13.5" customHeight="1" thickTop="1">
      <c r="A24" s="3" t="s">
        <v>81</v>
      </c>
      <c r="B24" s="42"/>
      <c r="C24" s="5"/>
      <c r="D24" s="5"/>
      <c r="E24" s="5"/>
      <c r="F24" s="6" t="s">
        <v>9</v>
      </c>
      <c r="G24" s="43">
        <f>(G10-G11)-SUM(G12:G22)</f>
        <v>3555900</v>
      </c>
    </row>
    <row r="25" spans="1:7" ht="12.75">
      <c r="A25" s="2" t="s">
        <v>22</v>
      </c>
      <c r="B25" s="2" t="s">
        <v>11</v>
      </c>
      <c r="G25" s="23">
        <f>ROUND(IF(ISERROR(FIND("PARKING",F7,1)),IF(G24&gt;3199200,G24*12%,0),G24*12%),2)</f>
        <v>426708</v>
      </c>
    </row>
    <row r="26" spans="1:7" ht="12.75" hidden="1">
      <c r="A26" s="22">
        <v>6</v>
      </c>
      <c r="B26" s="2" t="s">
        <v>23</v>
      </c>
      <c r="G26" s="23">
        <f>ROUND(G24*(A26/100),2)</f>
        <v>213354</v>
      </c>
    </row>
    <row r="27" spans="1:7" ht="12.75" hidden="1">
      <c r="A27" s="22"/>
      <c r="B27" s="2" t="s">
        <v>24</v>
      </c>
      <c r="F27" s="22">
        <f>IF(G27&gt;50000,50000,G27)</f>
        <v>0</v>
      </c>
      <c r="G27" s="23">
        <v>0</v>
      </c>
    </row>
    <row r="28" spans="1:7" ht="12.75" hidden="1">
      <c r="A28" s="22"/>
      <c r="B28" s="2" t="s">
        <v>25</v>
      </c>
      <c r="G28" s="23">
        <v>0</v>
      </c>
    </row>
    <row r="29" spans="1:7" ht="13.5" customHeight="1" thickBot="1">
      <c r="A29" s="22"/>
      <c r="B29" s="2" t="s">
        <v>23</v>
      </c>
      <c r="G29" s="23">
        <f>ROUND(SUM(G26,G28,F27),2)</f>
        <v>213354</v>
      </c>
    </row>
    <row r="30" spans="1:7" ht="13.5" customHeight="1" thickTop="1">
      <c r="A30" s="3" t="s">
        <v>26</v>
      </c>
      <c r="B30" s="5"/>
      <c r="C30" s="5"/>
      <c r="D30" s="5"/>
      <c r="E30" s="5"/>
      <c r="F30" s="6" t="s">
        <v>9</v>
      </c>
      <c r="G30" s="43">
        <f>G24+SUM(G25,G29)</f>
        <v>4195962</v>
      </c>
    </row>
    <row r="31" spans="1:7" ht="13.5" customHeight="1" thickBot="1">
      <c r="A31" s="2" t="s">
        <v>10</v>
      </c>
      <c r="B31" s="2" t="s">
        <v>28</v>
      </c>
      <c r="E31" s="27">
        <f ca="1">NOW()</f>
        <v>43848.59646550926</v>
      </c>
      <c r="G31" s="23">
        <v>20000</v>
      </c>
    </row>
    <row r="32" spans="1:7" ht="13.5" customHeight="1" thickTop="1">
      <c r="A32" s="44" t="s">
        <v>82</v>
      </c>
      <c r="B32" s="5"/>
      <c r="C32" s="5"/>
      <c r="D32" s="5"/>
      <c r="E32" s="45"/>
      <c r="F32" s="6" t="s">
        <v>9</v>
      </c>
      <c r="G32" s="43">
        <f>G30-G31</f>
        <v>4175962</v>
      </c>
    </row>
    <row r="33" spans="1:3" ht="12.75">
      <c r="A33" s="22"/>
      <c r="B33" s="22"/>
      <c r="C33" s="26">
        <v>20</v>
      </c>
    </row>
    <row r="34" spans="1:7" ht="12.75">
      <c r="A34" s="22"/>
      <c r="C34" s="26"/>
      <c r="E34" s="46" t="s">
        <v>83</v>
      </c>
      <c r="F34" s="27">
        <f>ReservationDate+19</f>
        <v>43867.59646550926</v>
      </c>
      <c r="G34" s="47">
        <f>ROUND(G32*95%,2)</f>
        <v>3967163.9</v>
      </c>
    </row>
    <row r="35" spans="1:6" ht="12.75">
      <c r="A35" s="22"/>
      <c r="B35" s="39"/>
      <c r="C35" s="26"/>
      <c r="F35" s="27"/>
    </row>
    <row r="36" spans="1:7" ht="12.75">
      <c r="A36" s="22"/>
      <c r="B36" s="39"/>
      <c r="C36" s="26"/>
      <c r="E36" s="46" t="s">
        <v>84</v>
      </c>
      <c r="F36" s="27">
        <v>43982</v>
      </c>
      <c r="G36" s="47">
        <f>ROUND(G32*5%,2)</f>
        <v>208798.1</v>
      </c>
    </row>
    <row r="37" spans="1:3" ht="12.75">
      <c r="A37" s="22"/>
      <c r="B37" s="22"/>
      <c r="C37" s="26"/>
    </row>
    <row r="38" spans="1:4" ht="12.75">
      <c r="A38" s="38" t="s">
        <v>69</v>
      </c>
      <c r="B38" s="39"/>
      <c r="C38" s="39"/>
      <c r="D38" s="39"/>
    </row>
    <row r="39" spans="1:7" ht="12.75">
      <c r="A39" s="103" t="s">
        <v>114</v>
      </c>
      <c r="B39" s="103"/>
      <c r="C39" s="103"/>
      <c r="D39" s="103"/>
      <c r="E39" s="103"/>
      <c r="F39" s="103"/>
      <c r="G39" s="103"/>
    </row>
    <row r="40" spans="1:4" ht="12.75">
      <c r="A40" s="39" t="s">
        <v>70</v>
      </c>
      <c r="B40" s="39"/>
      <c r="C40" s="39"/>
      <c r="D40" s="39"/>
    </row>
    <row r="41" spans="1:4" ht="12.75">
      <c r="A41" s="39" t="s">
        <v>71</v>
      </c>
      <c r="B41" s="39"/>
      <c r="C41" s="39"/>
      <c r="D41" s="39"/>
    </row>
    <row r="42" spans="1:4" ht="12.75">
      <c r="A42" s="39" t="s">
        <v>72</v>
      </c>
      <c r="B42" s="39"/>
      <c r="C42" s="39"/>
      <c r="D42" s="39"/>
    </row>
    <row r="43" spans="1:4" ht="12.75">
      <c r="A43" s="40" t="s">
        <v>73</v>
      </c>
      <c r="B43" s="39"/>
      <c r="C43" s="39"/>
      <c r="D43" s="39"/>
    </row>
    <row r="44" spans="1:4" ht="12.75">
      <c r="A44" s="40" t="s">
        <v>74</v>
      </c>
      <c r="B44" s="39"/>
      <c r="C44" s="39"/>
      <c r="D44" s="39"/>
    </row>
    <row r="45" spans="1:4" ht="12.75">
      <c r="A45" s="40" t="s">
        <v>75</v>
      </c>
      <c r="B45" s="39"/>
      <c r="C45" s="39"/>
      <c r="D45" s="39"/>
    </row>
    <row r="46" spans="1:4" ht="12.75">
      <c r="A46" s="40" t="s">
        <v>76</v>
      </c>
      <c r="B46" s="39"/>
      <c r="C46" s="39"/>
      <c r="D46" s="39"/>
    </row>
    <row r="47" spans="1:4" ht="12.75">
      <c r="A47" s="40" t="s">
        <v>77</v>
      </c>
      <c r="B47" s="39"/>
      <c r="C47" s="39"/>
      <c r="D47" s="39"/>
    </row>
    <row r="48" spans="1:7" ht="12.75">
      <c r="A48" s="103" t="s">
        <v>115</v>
      </c>
      <c r="B48" s="103"/>
      <c r="C48" s="103"/>
      <c r="D48" s="103"/>
      <c r="E48" s="103"/>
      <c r="F48" s="103"/>
      <c r="G48" s="103"/>
    </row>
    <row r="49" spans="1:7" ht="12.75">
      <c r="A49" s="103"/>
      <c r="B49" s="103"/>
      <c r="C49" s="103"/>
      <c r="D49" s="103"/>
      <c r="E49" s="103"/>
      <c r="F49" s="103"/>
      <c r="G49" s="103"/>
    </row>
    <row r="50" spans="1:7" ht="12.75">
      <c r="A50" s="104"/>
      <c r="B50" s="104"/>
      <c r="C50" s="104"/>
      <c r="D50" s="104"/>
      <c r="E50" s="104"/>
      <c r="F50" s="104"/>
      <c r="G50" s="104"/>
    </row>
  </sheetData>
  <sheetProtection/>
  <mergeCells count="9">
    <mergeCell ref="A48:G48"/>
    <mergeCell ref="A49:G49"/>
    <mergeCell ref="A50:G50"/>
    <mergeCell ref="B1:F1"/>
    <mergeCell ref="B2:F2"/>
    <mergeCell ref="A3:G3"/>
    <mergeCell ref="F6:G6"/>
    <mergeCell ref="F7:G7"/>
    <mergeCell ref="A39:G39"/>
  </mergeCells>
  <conditionalFormatting sqref="B25">
    <cfRule type="expression" priority="1" dxfId="13" stopIfTrue="1">
      <formula>$G$25=0</formula>
    </cfRule>
  </conditionalFormatting>
  <conditionalFormatting sqref="G11 G25">
    <cfRule type="cellIs" priority="2" dxfId="13" operator="equal" stopIfTrue="1">
      <formula>0</formula>
    </cfRule>
  </conditionalFormatting>
  <conditionalFormatting sqref="B11">
    <cfRule type="expression" priority="3" dxfId="13" stopIfTrue="1">
      <formula>$G$11=0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16"/>
  <sheetViews>
    <sheetView zoomScalePageLayoutView="0" workbookViewId="0" topLeftCell="A1">
      <selection activeCell="A6" sqref="A6:G10"/>
    </sheetView>
  </sheetViews>
  <sheetFormatPr defaultColWidth="12.375" defaultRowHeight="12.75" customHeight="1"/>
  <cols>
    <col min="1" max="1" width="14.75390625" style="2" customWidth="1"/>
    <col min="2" max="4" width="12.375" style="2" customWidth="1"/>
    <col min="5" max="6" width="14.625" style="2" customWidth="1"/>
    <col min="7" max="7" width="23.375" style="2" customWidth="1"/>
    <col min="8" max="8" width="15.00390625" style="2" hidden="1" customWidth="1"/>
    <col min="9" max="9" width="15.00390625" style="2" customWidth="1"/>
    <col min="10" max="10" width="14.125" style="2" customWidth="1"/>
    <col min="11" max="16384" width="12.375" style="2" customWidth="1"/>
  </cols>
  <sheetData>
    <row r="1" spans="1:7" ht="14.25" customHeight="1" thickTop="1">
      <c r="A1" s="9" t="s">
        <v>85</v>
      </c>
      <c r="B1" s="105" t="s">
        <v>0</v>
      </c>
      <c r="C1" s="105"/>
      <c r="D1" s="105"/>
      <c r="E1" s="105"/>
      <c r="F1" s="105"/>
      <c r="G1" s="10"/>
    </row>
    <row r="2" spans="1:7" ht="14.25" customHeight="1">
      <c r="A2" s="11"/>
      <c r="B2" s="106" t="s">
        <v>1</v>
      </c>
      <c r="C2" s="106"/>
      <c r="D2" s="106"/>
      <c r="E2" s="106"/>
      <c r="F2" s="106"/>
      <c r="G2" s="12"/>
    </row>
    <row r="3" spans="1:7" ht="30" customHeight="1">
      <c r="A3" s="107" t="s">
        <v>113</v>
      </c>
      <c r="B3" s="108"/>
      <c r="C3" s="108"/>
      <c r="D3" s="108"/>
      <c r="E3" s="108"/>
      <c r="F3" s="108"/>
      <c r="G3" s="109"/>
    </row>
    <row r="4" spans="1:7" ht="13.5" customHeight="1" thickBot="1">
      <c r="A4" s="13">
        <f>IF(A43&lt;=12,12,A43)</f>
        <v>60</v>
      </c>
      <c r="B4" s="14"/>
      <c r="C4" s="14"/>
      <c r="D4" s="15" t="str">
        <f>IF(A43&gt;G5,"TERM IS SUBJECT FOR APPROVAL","SAMPLECOMPUTATION ONLY")</f>
        <v>TERM IS SUBJECT FOR APPROVAL</v>
      </c>
      <c r="E4" s="14"/>
      <c r="F4" s="14"/>
      <c r="G4" s="16"/>
    </row>
    <row r="5" ht="13.5" customHeight="1" thickTop="1">
      <c r="G5" s="17">
        <v>42</v>
      </c>
    </row>
    <row r="6" spans="1:7" ht="12.75">
      <c r="A6" s="18" t="s">
        <v>2</v>
      </c>
      <c r="B6" s="18" t="s">
        <v>3</v>
      </c>
      <c r="C6" s="18" t="s">
        <v>4</v>
      </c>
      <c r="D6" s="18" t="s">
        <v>5</v>
      </c>
      <c r="E6" s="18"/>
      <c r="F6" s="110" t="s">
        <v>6</v>
      </c>
      <c r="G6" s="110"/>
    </row>
    <row r="7" spans="1:7" ht="12.75">
      <c r="A7" s="1">
        <v>1</v>
      </c>
      <c r="B7" s="1">
        <v>610</v>
      </c>
      <c r="C7" s="1">
        <v>6</v>
      </c>
      <c r="D7" s="1">
        <v>22.4</v>
      </c>
      <c r="E7" s="1"/>
      <c r="F7" s="111" t="s">
        <v>7</v>
      </c>
      <c r="G7" s="111"/>
    </row>
    <row r="10" spans="1:7" ht="12.75">
      <c r="A10" s="3" t="s">
        <v>8</v>
      </c>
      <c r="B10" s="3"/>
      <c r="C10" s="4"/>
      <c r="D10" s="5"/>
      <c r="E10" s="5"/>
      <c r="F10" s="6" t="s">
        <v>9</v>
      </c>
      <c r="G10" s="7">
        <v>4425120</v>
      </c>
    </row>
    <row r="11" spans="1:7" ht="12.75">
      <c r="A11" s="2" t="s">
        <v>10</v>
      </c>
      <c r="B11" s="2" t="s">
        <v>11</v>
      </c>
      <c r="C11" s="19"/>
      <c r="F11" s="20"/>
      <c r="G11" s="21">
        <f>ROUND(IF(ISERROR(FIND("PARKING",Model,1)),IF(SellingPrice&gt;3199200,(G10-(G10/1.12)),0),(G10-(G10/1.12))),2)</f>
        <v>474120</v>
      </c>
    </row>
    <row r="12" spans="1:10" ht="12.75">
      <c r="A12" s="22">
        <v>4</v>
      </c>
      <c r="B12" s="2" t="s">
        <v>116</v>
      </c>
      <c r="F12" s="20"/>
      <c r="G12" s="23">
        <f>((G10-G11)-G22)*(PercentageDiscount/100)</f>
        <v>158040</v>
      </c>
      <c r="H12" s="23">
        <f>SellingPrice-G11-Discount2Value</f>
        <v>3951000</v>
      </c>
      <c r="I12" s="23"/>
      <c r="J12" s="23"/>
    </row>
    <row r="13" spans="2:10" ht="12.75" hidden="1">
      <c r="B13" s="2" t="s">
        <v>12</v>
      </c>
      <c r="G13" s="23">
        <v>0</v>
      </c>
      <c r="I13" s="23"/>
      <c r="J13" s="23"/>
    </row>
    <row r="14" spans="2:10" ht="12.75" hidden="1">
      <c r="B14" s="2" t="s">
        <v>13</v>
      </c>
      <c r="G14" s="23">
        <v>0</v>
      </c>
      <c r="I14" s="23"/>
      <c r="J14" s="23"/>
    </row>
    <row r="15" spans="2:9" ht="12.75" hidden="1">
      <c r="B15" s="2" t="s">
        <v>14</v>
      </c>
      <c r="G15" s="23">
        <v>0</v>
      </c>
      <c r="I15" s="23"/>
    </row>
    <row r="16" spans="2:9" ht="12.75" hidden="1">
      <c r="B16" s="2" t="s">
        <v>15</v>
      </c>
      <c r="D16" s="8" t="s">
        <v>16</v>
      </c>
      <c r="G16" s="23"/>
      <c r="I16" s="23"/>
    </row>
    <row r="17" spans="2:9" ht="12.75" hidden="1">
      <c r="B17" s="2" t="s">
        <v>17</v>
      </c>
      <c r="G17" s="23">
        <v>0</v>
      </c>
      <c r="I17" s="23"/>
    </row>
    <row r="18" spans="2:10" ht="12.75" hidden="1">
      <c r="B18" s="2" t="s">
        <v>18</v>
      </c>
      <c r="G18" s="23">
        <v>0</v>
      </c>
      <c r="H18" s="23"/>
      <c r="I18" s="23"/>
      <c r="J18" s="23"/>
    </row>
    <row r="19" spans="2:10" ht="12.75" hidden="1">
      <c r="B19" s="2" t="s">
        <v>19</v>
      </c>
      <c r="G19" s="23">
        <v>0</v>
      </c>
      <c r="J19" s="23"/>
    </row>
    <row r="20" spans="2:10" ht="12.75" hidden="1">
      <c r="B20" s="2" t="s">
        <v>20</v>
      </c>
      <c r="G20" s="23">
        <v>0</v>
      </c>
      <c r="J20" s="23"/>
    </row>
    <row r="21" spans="2:10" ht="12.75" hidden="1">
      <c r="B21" s="2" t="s">
        <v>80</v>
      </c>
      <c r="G21" s="23">
        <v>0</v>
      </c>
      <c r="J21" s="23"/>
    </row>
    <row r="22" spans="2:10" ht="12.75" hidden="1">
      <c r="B22" s="2" t="s">
        <v>21</v>
      </c>
      <c r="G22" s="23"/>
      <c r="J22" s="23"/>
    </row>
    <row r="23" spans="6:10" ht="13.5" customHeight="1" thickBot="1">
      <c r="F23" s="20"/>
      <c r="G23" s="24"/>
      <c r="H23" s="23">
        <f>H12*4%</f>
        <v>158040</v>
      </c>
      <c r="J23" s="23"/>
    </row>
    <row r="24" spans="1:9" ht="13.5" customHeight="1" thickTop="1">
      <c r="A24" s="3" t="s">
        <v>81</v>
      </c>
      <c r="B24" s="42"/>
      <c r="C24" s="5"/>
      <c r="D24" s="5"/>
      <c r="E24" s="5"/>
      <c r="F24" s="6" t="s">
        <v>9</v>
      </c>
      <c r="G24" s="43">
        <f>(SellingPrice-G11)-SUM(G12:G22)</f>
        <v>3792960</v>
      </c>
      <c r="I24" s="23"/>
    </row>
    <row r="25" spans="1:9" ht="12.75">
      <c r="A25" s="2" t="s">
        <v>22</v>
      </c>
      <c r="B25" s="2" t="s">
        <v>11</v>
      </c>
      <c r="G25" s="23">
        <f>ROUND(IF(ISERROR(FIND("PARKING",Model,1)),IF(G24&gt;3199200,G24*12%,0),G24*12%),2)</f>
        <v>455155.2</v>
      </c>
      <c r="I25" s="23"/>
    </row>
    <row r="26" spans="1:7" ht="12.75" hidden="1">
      <c r="A26" s="22">
        <v>7</v>
      </c>
      <c r="B26" s="2" t="s">
        <v>23</v>
      </c>
      <c r="G26" s="23">
        <f>ROUND(G24*(A26/100),2)</f>
        <v>265507.2</v>
      </c>
    </row>
    <row r="27" spans="1:7" ht="12.75" hidden="1">
      <c r="A27" s="22"/>
      <c r="B27" s="2" t="s">
        <v>24</v>
      </c>
      <c r="F27" s="22">
        <f>IF(G27&gt;50000,50000,G27)</f>
        <v>0</v>
      </c>
      <c r="G27" s="23">
        <v>0</v>
      </c>
    </row>
    <row r="28" spans="1:7" ht="12.75" hidden="1">
      <c r="A28" s="22"/>
      <c r="B28" s="2" t="s">
        <v>25</v>
      </c>
      <c r="G28" s="23">
        <v>0</v>
      </c>
    </row>
    <row r="29" spans="1:7" ht="13.5" customHeight="1" thickBot="1">
      <c r="A29" s="22"/>
      <c r="B29" s="2" t="s">
        <v>23</v>
      </c>
      <c r="G29" s="23">
        <f>ROUND(SUM(G26,G28,F27),2)</f>
        <v>265507.2</v>
      </c>
    </row>
    <row r="30" spans="1:7" ht="13.5" customHeight="1" thickTop="1">
      <c r="A30" s="3" t="s">
        <v>26</v>
      </c>
      <c r="B30" s="5"/>
      <c r="C30" s="5"/>
      <c r="D30" s="5"/>
      <c r="E30" s="5"/>
      <c r="F30" s="6" t="s">
        <v>9</v>
      </c>
      <c r="G30" s="43">
        <f>G24+SUM(G25,G29)</f>
        <v>4513622.4</v>
      </c>
    </row>
    <row r="31" spans="1:7" s="48" customFormat="1" ht="13.5" customHeight="1" thickBot="1">
      <c r="A31" s="48" t="s">
        <v>10</v>
      </c>
      <c r="B31" s="48" t="s">
        <v>28</v>
      </c>
      <c r="F31" s="49">
        <f ca="1">NOW()</f>
        <v>43848.59646550926</v>
      </c>
      <c r="G31" s="50">
        <v>20000</v>
      </c>
    </row>
    <row r="32" spans="1:7" ht="13.5" customHeight="1" thickTop="1">
      <c r="A32" s="3" t="s">
        <v>86</v>
      </c>
      <c r="B32" s="5"/>
      <c r="C32" s="5"/>
      <c r="D32" s="5"/>
      <c r="E32" s="45"/>
      <c r="F32" s="6" t="s">
        <v>9</v>
      </c>
      <c r="G32" s="43">
        <f>G30-G31</f>
        <v>4493622.4</v>
      </c>
    </row>
    <row r="33" ht="12.75">
      <c r="A33" s="26">
        <v>100</v>
      </c>
    </row>
    <row r="34" ht="12.75">
      <c r="A34" s="25" t="s">
        <v>27</v>
      </c>
    </row>
    <row r="35" spans="1:10" ht="13.5" customHeight="1" thickBot="1">
      <c r="A35" s="22">
        <v>20</v>
      </c>
      <c r="B35" s="2" t="str">
        <f>CONCATENATE("Spot Downpayment ("&amp;A35&amp;"% of Selling Price)")</f>
        <v>Spot Downpayment (20% of Selling Price)</v>
      </c>
      <c r="E35" s="36"/>
      <c r="F35" s="27"/>
      <c r="G35" s="23">
        <f>ROUND((SUM(G24:G25)*(A35/100))-(G31),2)</f>
        <v>829623.04</v>
      </c>
      <c r="H35" s="23"/>
      <c r="I35" s="23"/>
      <c r="J35" s="51"/>
    </row>
    <row r="36" spans="2:7" ht="13.5" customHeight="1" thickTop="1">
      <c r="B36" s="38" t="s">
        <v>87</v>
      </c>
      <c r="E36" s="36"/>
      <c r="F36" s="27">
        <f>ReservationDate+19</f>
        <v>43867.59646550926</v>
      </c>
      <c r="G36" s="52">
        <f>SUM(G35:G35)</f>
        <v>829623.04</v>
      </c>
    </row>
    <row r="37" spans="2:7" ht="12.75">
      <c r="B37" s="38"/>
      <c r="E37" s="36"/>
      <c r="F37" s="27"/>
      <c r="G37" s="53"/>
    </row>
    <row r="38" spans="1:7" ht="12.75">
      <c r="A38" s="25" t="s">
        <v>88</v>
      </c>
      <c r="B38" s="35"/>
      <c r="E38" s="36"/>
      <c r="F38" s="27"/>
      <c r="G38" s="37"/>
    </row>
    <row r="39" spans="1:9" ht="12.75">
      <c r="A39" s="22">
        <f>A33-A35</f>
        <v>80</v>
      </c>
      <c r="B39" s="54" t="str">
        <f>CONCATENATE("Balance Remaining ("&amp;A39&amp;"% of Selling Price)")</f>
        <v>Balance Remaining (80% of Selling Price)</v>
      </c>
      <c r="E39" s="36"/>
      <c r="F39" s="27"/>
      <c r="G39" s="23">
        <f>(SUM(G24:G25)-G35)-G31</f>
        <v>3398492.16</v>
      </c>
      <c r="I39" s="23"/>
    </row>
    <row r="40" spans="2:7" ht="13.5" customHeight="1" thickBot="1">
      <c r="B40" s="54" t="str">
        <f>IF(LumpOCDate&lt;&gt;"","Other Charges is payable on or before","Other Charges")</f>
        <v>Other Charges</v>
      </c>
      <c r="E40" s="36"/>
      <c r="F40" s="27"/>
      <c r="G40" s="23">
        <f>G29</f>
        <v>265507.2</v>
      </c>
    </row>
    <row r="41" spans="2:7" ht="13.5" customHeight="1" thickTop="1">
      <c r="B41" s="38" t="str">
        <f>CONCATENATE("Remaining Balance and OC due and payable in "&amp;A43&amp;" months at 0 intrest")</f>
        <v>Remaining Balance and OC due and payable in 60 months at 0 intrest</v>
      </c>
      <c r="E41" s="36"/>
      <c r="F41" s="27"/>
      <c r="G41" s="52">
        <f>SUM(G39:G40)</f>
        <v>3663999.3600000003</v>
      </c>
    </row>
    <row r="42" spans="2:7" ht="12.75">
      <c r="B42" s="54"/>
      <c r="E42" s="36"/>
      <c r="F42" s="27"/>
      <c r="G42" s="37"/>
    </row>
    <row r="43" spans="1:7" ht="25.5" customHeight="1">
      <c r="A43" s="28">
        <v>60</v>
      </c>
      <c r="B43" s="113" t="s">
        <v>29</v>
      </c>
      <c r="C43" s="113"/>
      <c r="D43" s="29" t="s">
        <v>30</v>
      </c>
      <c r="E43" s="30" t="s">
        <v>31</v>
      </c>
      <c r="F43" s="31" t="s">
        <v>23</v>
      </c>
      <c r="G43" s="32" t="s">
        <v>32</v>
      </c>
    </row>
    <row r="44" spans="1:7" ht="12.75">
      <c r="A44" s="112" t="s">
        <v>33</v>
      </c>
      <c r="B44" s="112"/>
      <c r="C44" s="112"/>
      <c r="D44" s="33">
        <f>IF(AND(DAY(F36)&gt;2,DAY(F36)&lt;19),DATE(YEAR(F36+30),MONTH(F36+30),DAY(17)),DATE(YEAR(F36+30),MONTH(F36+30)+1,DAY(2)))</f>
        <v>43907</v>
      </c>
      <c r="E44" s="21">
        <f>ROUND(G39/A43,2)</f>
        <v>56641.54</v>
      </c>
      <c r="F44" s="34">
        <f>ROUND(IF(LumpOCDate&lt;&gt;"",IF(D44=LumpOCDate,$G$40,0),$G$40/NoDPSchedule),2)</f>
        <v>4425.12</v>
      </c>
      <c r="G44" s="23">
        <f>SUM(E44:F44)</f>
        <v>61066.66</v>
      </c>
    </row>
    <row r="45" spans="1:7" ht="12.75">
      <c r="A45" s="112" t="s">
        <v>34</v>
      </c>
      <c r="B45" s="112"/>
      <c r="C45" s="112"/>
      <c r="D45" s="33">
        <f>IF($A$43&lt;VALUE(LEFT(A45,1))," ",DATE(YEAR(D44+30),MONTH(D44+30),DAY(D44)))</f>
        <v>43938</v>
      </c>
      <c r="E45" s="21">
        <f>IF($A$43&lt;VALUE(LEFT(A45,1))," ",IF($A$43=VALUE(LEFT(A45,1)),$G$39-($E$44*($A$43-1)),E44))</f>
        <v>56641.54</v>
      </c>
      <c r="F45" s="34">
        <f>IF($A$43&lt;VALUE(LEFT(A45,1))," ",IF($A$43=VALUE(LEFT(A45,1)),$G$40-($F$44*($A$43-1)),F44))</f>
        <v>4425.12</v>
      </c>
      <c r="G45" s="23">
        <f aca="true" t="shared" si="0" ref="G45:G52">IF(NoDPSchedule&lt;VALUE(LEFT(A45,1))," ",SUM(E45:F45))</f>
        <v>61066.66</v>
      </c>
    </row>
    <row r="46" spans="1:7" ht="12.75">
      <c r="A46" s="112" t="s">
        <v>35</v>
      </c>
      <c r="B46" s="112"/>
      <c r="C46" s="112"/>
      <c r="D46" s="33">
        <f>IF($A$43&lt;VALUE(LEFT(A46,1))," ",DATE(YEAR(D45+30),MONTH(D45+30),DAY(D45)))</f>
        <v>43968</v>
      </c>
      <c r="E46" s="21">
        <f aca="true" t="shared" si="1" ref="E46:E52">IF($A$43&lt;VALUE(LEFT(A46,1))," ",IF($A$43=VALUE(LEFT(A46,1)),$G$39-($E$44*($A$43-1)),E45))</f>
        <v>56641.54</v>
      </c>
      <c r="F46" s="34">
        <f aca="true" t="shared" si="2" ref="F46:F52">IF($A$43&lt;VALUE(LEFT(A46,1))," ",IF($A$43=VALUE(LEFT(A46,1)),$G$40-($F$44*($A$43-1)),F45))</f>
        <v>4425.12</v>
      </c>
      <c r="G46" s="23">
        <f t="shared" si="0"/>
        <v>61066.66</v>
      </c>
    </row>
    <row r="47" spans="1:7" ht="12.75">
      <c r="A47" s="112" t="s">
        <v>36</v>
      </c>
      <c r="B47" s="112"/>
      <c r="C47" s="112"/>
      <c r="D47" s="33">
        <f aca="true" t="shared" si="3" ref="D47:D52">IF($A$43&lt;VALUE(LEFT(A47,1))," ",DATE(YEAR(D46+30),MONTH(D46+30),DAY(D46)))</f>
        <v>43999</v>
      </c>
      <c r="E47" s="21">
        <f t="shared" si="1"/>
        <v>56641.54</v>
      </c>
      <c r="F47" s="34">
        <f t="shared" si="2"/>
        <v>4425.12</v>
      </c>
      <c r="G47" s="23">
        <f t="shared" si="0"/>
        <v>61066.66</v>
      </c>
    </row>
    <row r="48" spans="1:7" ht="12.75">
      <c r="A48" s="112" t="s">
        <v>37</v>
      </c>
      <c r="B48" s="112"/>
      <c r="C48" s="112"/>
      <c r="D48" s="33">
        <f t="shared" si="3"/>
        <v>44029</v>
      </c>
      <c r="E48" s="21">
        <f t="shared" si="1"/>
        <v>56641.54</v>
      </c>
      <c r="F48" s="34">
        <f t="shared" si="2"/>
        <v>4425.12</v>
      </c>
      <c r="G48" s="23">
        <f t="shared" si="0"/>
        <v>61066.66</v>
      </c>
    </row>
    <row r="49" spans="1:7" ht="12.75">
      <c r="A49" s="112" t="s">
        <v>38</v>
      </c>
      <c r="B49" s="112"/>
      <c r="C49" s="112"/>
      <c r="D49" s="33">
        <f t="shared" si="3"/>
        <v>44060</v>
      </c>
      <c r="E49" s="21">
        <f t="shared" si="1"/>
        <v>56641.54</v>
      </c>
      <c r="F49" s="34">
        <f t="shared" si="2"/>
        <v>4425.12</v>
      </c>
      <c r="G49" s="23">
        <f t="shared" si="0"/>
        <v>61066.66</v>
      </c>
    </row>
    <row r="50" spans="1:7" ht="12.75">
      <c r="A50" s="112" t="s">
        <v>39</v>
      </c>
      <c r="B50" s="112"/>
      <c r="C50" s="112"/>
      <c r="D50" s="33">
        <f t="shared" si="3"/>
        <v>44091</v>
      </c>
      <c r="E50" s="21">
        <f t="shared" si="1"/>
        <v>56641.54</v>
      </c>
      <c r="F50" s="34">
        <f t="shared" si="2"/>
        <v>4425.12</v>
      </c>
      <c r="G50" s="23">
        <f t="shared" si="0"/>
        <v>61066.66</v>
      </c>
    </row>
    <row r="51" spans="1:7" ht="12.75">
      <c r="A51" s="112" t="s">
        <v>40</v>
      </c>
      <c r="B51" s="112"/>
      <c r="C51" s="112"/>
      <c r="D51" s="33">
        <f t="shared" si="3"/>
        <v>44121</v>
      </c>
      <c r="E51" s="21">
        <f t="shared" si="1"/>
        <v>56641.54</v>
      </c>
      <c r="F51" s="34">
        <f t="shared" si="2"/>
        <v>4425.12</v>
      </c>
      <c r="G51" s="23">
        <f t="shared" si="0"/>
        <v>61066.66</v>
      </c>
    </row>
    <row r="52" spans="1:7" ht="12.75">
      <c r="A52" s="112" t="s">
        <v>41</v>
      </c>
      <c r="B52" s="112"/>
      <c r="C52" s="112"/>
      <c r="D52" s="33">
        <f t="shared" si="3"/>
        <v>44152</v>
      </c>
      <c r="E52" s="21">
        <f t="shared" si="1"/>
        <v>56641.54</v>
      </c>
      <c r="F52" s="34">
        <f t="shared" si="2"/>
        <v>4425.12</v>
      </c>
      <c r="G52" s="23">
        <f t="shared" si="0"/>
        <v>61066.66</v>
      </c>
    </row>
    <row r="53" spans="1:7" ht="12.75">
      <c r="A53" s="112" t="s">
        <v>42</v>
      </c>
      <c r="B53" s="112"/>
      <c r="C53" s="112"/>
      <c r="D53" s="33">
        <f>IF($A$43&lt;VALUE(LEFT(A53,2))," ",DATE(YEAR(D52+30),MONTH(D52+30),DAY(D52)))</f>
        <v>44182</v>
      </c>
      <c r="E53" s="21">
        <f>IF($A$43&lt;VALUE(LEFT(A53,2))," ",IF($A$43=VALUE(LEFT(A53,2)),$G$39-($E$44*($A$43-1)),E52))</f>
        <v>56641.54</v>
      </c>
      <c r="F53" s="34">
        <f>IF($A$43&lt;VALUE(LEFT(A53,2))," ",IF($A$43=VALUE(LEFT(A53,2)),$G$40-($F$44*($A$43-1)),F52))</f>
        <v>4425.12</v>
      </c>
      <c r="G53" s="23">
        <f aca="true" t="shared" si="4" ref="G53:G79">IF(NoDPSchedule&lt;VALUE(LEFT(A53,2))," ",SUM(E53:F53))</f>
        <v>61066.66</v>
      </c>
    </row>
    <row r="54" spans="1:7" ht="12.75">
      <c r="A54" s="112" t="s">
        <v>43</v>
      </c>
      <c r="B54" s="112"/>
      <c r="C54" s="112"/>
      <c r="D54" s="33">
        <f aca="true" t="shared" si="5" ref="D54:D101">IF($A$43&lt;VALUE(LEFT(A54,2))," ",DATE(YEAR(D53+30),MONTH(D53+30),DAY(D53)))</f>
        <v>44213</v>
      </c>
      <c r="E54" s="21">
        <f aca="true" t="shared" si="6" ref="E54:E101">IF($A$43&lt;VALUE(LEFT(A54,2))," ",IF($A$43=VALUE(LEFT(A54,2)),$G$39-($E$44*($A$43-1)),E53))</f>
        <v>56641.54</v>
      </c>
      <c r="F54" s="34">
        <f aca="true" t="shared" si="7" ref="F54:F101">IF($A$43&lt;VALUE(LEFT(A54,2))," ",IF($A$43=VALUE(LEFT(A54,2)),$G$40-($F$44*($A$43-1)),F53))</f>
        <v>4425.12</v>
      </c>
      <c r="G54" s="23">
        <f t="shared" si="4"/>
        <v>61066.66</v>
      </c>
    </row>
    <row r="55" spans="1:7" ht="12.75">
      <c r="A55" s="112" t="s">
        <v>44</v>
      </c>
      <c r="B55" s="112"/>
      <c r="C55" s="112"/>
      <c r="D55" s="33">
        <f t="shared" si="5"/>
        <v>44244</v>
      </c>
      <c r="E55" s="21">
        <f t="shared" si="6"/>
        <v>56641.54</v>
      </c>
      <c r="F55" s="34">
        <f t="shared" si="7"/>
        <v>4425.12</v>
      </c>
      <c r="G55" s="23">
        <f t="shared" si="4"/>
        <v>61066.66</v>
      </c>
    </row>
    <row r="56" spans="1:7" ht="12.75">
      <c r="A56" s="112" t="s">
        <v>45</v>
      </c>
      <c r="B56" s="112"/>
      <c r="C56" s="112"/>
      <c r="D56" s="33">
        <f t="shared" si="5"/>
        <v>44272</v>
      </c>
      <c r="E56" s="21">
        <f t="shared" si="6"/>
        <v>56641.54</v>
      </c>
      <c r="F56" s="34">
        <f t="shared" si="7"/>
        <v>4425.12</v>
      </c>
      <c r="G56" s="23">
        <f t="shared" si="4"/>
        <v>61066.66</v>
      </c>
    </row>
    <row r="57" spans="1:7" ht="12.75">
      <c r="A57" s="112" t="s">
        <v>46</v>
      </c>
      <c r="B57" s="112"/>
      <c r="C57" s="112"/>
      <c r="D57" s="33">
        <f t="shared" si="5"/>
        <v>44303</v>
      </c>
      <c r="E57" s="21">
        <f t="shared" si="6"/>
        <v>56641.54</v>
      </c>
      <c r="F57" s="34">
        <f t="shared" si="7"/>
        <v>4425.12</v>
      </c>
      <c r="G57" s="23">
        <f t="shared" si="4"/>
        <v>61066.66</v>
      </c>
    </row>
    <row r="58" spans="1:7" ht="12.75">
      <c r="A58" s="112" t="s">
        <v>47</v>
      </c>
      <c r="B58" s="112"/>
      <c r="C58" s="112"/>
      <c r="D58" s="33">
        <f t="shared" si="5"/>
        <v>44333</v>
      </c>
      <c r="E58" s="21">
        <f t="shared" si="6"/>
        <v>56641.54</v>
      </c>
      <c r="F58" s="34">
        <f t="shared" si="7"/>
        <v>4425.12</v>
      </c>
      <c r="G58" s="23">
        <f t="shared" si="4"/>
        <v>61066.66</v>
      </c>
    </row>
    <row r="59" spans="1:7" ht="12.75">
      <c r="A59" s="112" t="s">
        <v>48</v>
      </c>
      <c r="B59" s="112"/>
      <c r="C59" s="112"/>
      <c r="D59" s="33">
        <f t="shared" si="5"/>
        <v>44364</v>
      </c>
      <c r="E59" s="21">
        <f t="shared" si="6"/>
        <v>56641.54</v>
      </c>
      <c r="F59" s="34">
        <f t="shared" si="7"/>
        <v>4425.12</v>
      </c>
      <c r="G59" s="23">
        <f t="shared" si="4"/>
        <v>61066.66</v>
      </c>
    </row>
    <row r="60" spans="1:7" ht="12.75">
      <c r="A60" s="112" t="s">
        <v>49</v>
      </c>
      <c r="B60" s="112"/>
      <c r="C60" s="112"/>
      <c r="D60" s="33">
        <f t="shared" si="5"/>
        <v>44394</v>
      </c>
      <c r="E60" s="21">
        <f t="shared" si="6"/>
        <v>56641.54</v>
      </c>
      <c r="F60" s="34">
        <f t="shared" si="7"/>
        <v>4425.12</v>
      </c>
      <c r="G60" s="23">
        <f t="shared" si="4"/>
        <v>61066.66</v>
      </c>
    </row>
    <row r="61" spans="1:7" ht="12.75">
      <c r="A61" s="112" t="s">
        <v>50</v>
      </c>
      <c r="B61" s="112"/>
      <c r="C61" s="112"/>
      <c r="D61" s="33">
        <f t="shared" si="5"/>
        <v>44425</v>
      </c>
      <c r="E61" s="21">
        <f t="shared" si="6"/>
        <v>56641.54</v>
      </c>
      <c r="F61" s="34">
        <f t="shared" si="7"/>
        <v>4425.12</v>
      </c>
      <c r="G61" s="23">
        <f t="shared" si="4"/>
        <v>61066.66</v>
      </c>
    </row>
    <row r="62" spans="1:7" ht="12.75">
      <c r="A62" s="112" t="s">
        <v>51</v>
      </c>
      <c r="B62" s="112"/>
      <c r="C62" s="112"/>
      <c r="D62" s="33">
        <f t="shared" si="5"/>
        <v>44456</v>
      </c>
      <c r="E62" s="21">
        <f t="shared" si="6"/>
        <v>56641.54</v>
      </c>
      <c r="F62" s="34">
        <f t="shared" si="7"/>
        <v>4425.12</v>
      </c>
      <c r="G62" s="23">
        <f t="shared" si="4"/>
        <v>61066.66</v>
      </c>
    </row>
    <row r="63" spans="1:7" ht="12.75">
      <c r="A63" s="112" t="s">
        <v>52</v>
      </c>
      <c r="B63" s="112"/>
      <c r="C63" s="112"/>
      <c r="D63" s="33">
        <f t="shared" si="5"/>
        <v>44486</v>
      </c>
      <c r="E63" s="21">
        <f t="shared" si="6"/>
        <v>56641.54</v>
      </c>
      <c r="F63" s="34">
        <f t="shared" si="7"/>
        <v>4425.12</v>
      </c>
      <c r="G63" s="23">
        <f t="shared" si="4"/>
        <v>61066.66</v>
      </c>
    </row>
    <row r="64" spans="1:7" ht="12.75">
      <c r="A64" s="112" t="s">
        <v>53</v>
      </c>
      <c r="B64" s="112"/>
      <c r="C64" s="112"/>
      <c r="D64" s="33">
        <f t="shared" si="5"/>
        <v>44517</v>
      </c>
      <c r="E64" s="21">
        <f t="shared" si="6"/>
        <v>56641.54</v>
      </c>
      <c r="F64" s="34">
        <f t="shared" si="7"/>
        <v>4425.12</v>
      </c>
      <c r="G64" s="23">
        <f t="shared" si="4"/>
        <v>61066.66</v>
      </c>
    </row>
    <row r="65" spans="1:7" ht="12.75">
      <c r="A65" s="112" t="s">
        <v>54</v>
      </c>
      <c r="B65" s="112"/>
      <c r="C65" s="112"/>
      <c r="D65" s="33">
        <f t="shared" si="5"/>
        <v>44547</v>
      </c>
      <c r="E65" s="21">
        <f t="shared" si="6"/>
        <v>56641.54</v>
      </c>
      <c r="F65" s="34">
        <f t="shared" si="7"/>
        <v>4425.12</v>
      </c>
      <c r="G65" s="23">
        <f t="shared" si="4"/>
        <v>61066.66</v>
      </c>
    </row>
    <row r="66" spans="1:7" ht="12.75">
      <c r="A66" s="112" t="s">
        <v>55</v>
      </c>
      <c r="B66" s="112"/>
      <c r="C66" s="112"/>
      <c r="D66" s="33">
        <f t="shared" si="5"/>
        <v>44578</v>
      </c>
      <c r="E66" s="21">
        <f t="shared" si="6"/>
        <v>56641.54</v>
      </c>
      <c r="F66" s="34">
        <f t="shared" si="7"/>
        <v>4425.12</v>
      </c>
      <c r="G66" s="23">
        <f t="shared" si="4"/>
        <v>61066.66</v>
      </c>
    </row>
    <row r="67" spans="1:7" ht="12.75">
      <c r="A67" s="112" t="s">
        <v>56</v>
      </c>
      <c r="B67" s="112"/>
      <c r="C67" s="112"/>
      <c r="D67" s="33">
        <f t="shared" si="5"/>
        <v>44609</v>
      </c>
      <c r="E67" s="21">
        <f t="shared" si="6"/>
        <v>56641.54</v>
      </c>
      <c r="F67" s="34">
        <f t="shared" si="7"/>
        <v>4425.12</v>
      </c>
      <c r="G67" s="23">
        <f t="shared" si="4"/>
        <v>61066.66</v>
      </c>
    </row>
    <row r="68" spans="1:7" ht="12.75">
      <c r="A68" s="112" t="s">
        <v>57</v>
      </c>
      <c r="B68" s="112"/>
      <c r="C68" s="112"/>
      <c r="D68" s="33">
        <f t="shared" si="5"/>
        <v>44637</v>
      </c>
      <c r="E68" s="21">
        <f t="shared" si="6"/>
        <v>56641.54</v>
      </c>
      <c r="F68" s="34">
        <f t="shared" si="7"/>
        <v>4425.12</v>
      </c>
      <c r="G68" s="23">
        <f t="shared" si="4"/>
        <v>61066.66</v>
      </c>
    </row>
    <row r="69" spans="1:7" ht="12.75">
      <c r="A69" s="112" t="s">
        <v>58</v>
      </c>
      <c r="B69" s="112"/>
      <c r="C69" s="112"/>
      <c r="D69" s="33">
        <f t="shared" si="5"/>
        <v>44668</v>
      </c>
      <c r="E69" s="21">
        <f t="shared" si="6"/>
        <v>56641.54</v>
      </c>
      <c r="F69" s="34">
        <f t="shared" si="7"/>
        <v>4425.12</v>
      </c>
      <c r="G69" s="23">
        <f t="shared" si="4"/>
        <v>61066.66</v>
      </c>
    </row>
    <row r="70" spans="1:7" ht="12.75">
      <c r="A70" s="112" t="s">
        <v>59</v>
      </c>
      <c r="B70" s="112"/>
      <c r="C70" s="112"/>
      <c r="D70" s="33">
        <f t="shared" si="5"/>
        <v>44698</v>
      </c>
      <c r="E70" s="21">
        <f t="shared" si="6"/>
        <v>56641.54</v>
      </c>
      <c r="F70" s="34">
        <f t="shared" si="7"/>
        <v>4425.12</v>
      </c>
      <c r="G70" s="23">
        <f t="shared" si="4"/>
        <v>61066.66</v>
      </c>
    </row>
    <row r="71" spans="1:7" ht="12.75">
      <c r="A71" s="112" t="s">
        <v>60</v>
      </c>
      <c r="B71" s="112"/>
      <c r="C71" s="112"/>
      <c r="D71" s="33">
        <f t="shared" si="5"/>
        <v>44729</v>
      </c>
      <c r="E71" s="21">
        <f t="shared" si="6"/>
        <v>56641.54</v>
      </c>
      <c r="F71" s="34">
        <f t="shared" si="7"/>
        <v>4425.12</v>
      </c>
      <c r="G71" s="23">
        <f t="shared" si="4"/>
        <v>61066.66</v>
      </c>
    </row>
    <row r="72" spans="1:7" ht="12.75">
      <c r="A72" s="112" t="s">
        <v>61</v>
      </c>
      <c r="B72" s="112"/>
      <c r="C72" s="112"/>
      <c r="D72" s="33">
        <f t="shared" si="5"/>
        <v>44759</v>
      </c>
      <c r="E72" s="21">
        <f t="shared" si="6"/>
        <v>56641.54</v>
      </c>
      <c r="F72" s="34">
        <f t="shared" si="7"/>
        <v>4425.12</v>
      </c>
      <c r="G72" s="23">
        <f t="shared" si="4"/>
        <v>61066.66</v>
      </c>
    </row>
    <row r="73" spans="1:7" ht="12.75">
      <c r="A73" s="112" t="s">
        <v>62</v>
      </c>
      <c r="B73" s="112"/>
      <c r="C73" s="112"/>
      <c r="D73" s="33">
        <f t="shared" si="5"/>
        <v>44790</v>
      </c>
      <c r="E73" s="21">
        <f t="shared" si="6"/>
        <v>56641.54</v>
      </c>
      <c r="F73" s="34">
        <f t="shared" si="7"/>
        <v>4425.12</v>
      </c>
      <c r="G73" s="23">
        <f t="shared" si="4"/>
        <v>61066.66</v>
      </c>
    </row>
    <row r="74" spans="1:7" ht="12.75">
      <c r="A74" s="112" t="s">
        <v>63</v>
      </c>
      <c r="B74" s="112"/>
      <c r="C74" s="112"/>
      <c r="D74" s="33">
        <f t="shared" si="5"/>
        <v>44821</v>
      </c>
      <c r="E74" s="21">
        <f t="shared" si="6"/>
        <v>56641.54</v>
      </c>
      <c r="F74" s="34">
        <f t="shared" si="7"/>
        <v>4425.12</v>
      </c>
      <c r="G74" s="23">
        <f t="shared" si="4"/>
        <v>61066.66</v>
      </c>
    </row>
    <row r="75" spans="1:7" ht="12.75">
      <c r="A75" s="112" t="s">
        <v>64</v>
      </c>
      <c r="B75" s="112"/>
      <c r="C75" s="112"/>
      <c r="D75" s="33">
        <f t="shared" si="5"/>
        <v>44851</v>
      </c>
      <c r="E75" s="21">
        <f t="shared" si="6"/>
        <v>56641.54</v>
      </c>
      <c r="F75" s="34">
        <f t="shared" si="7"/>
        <v>4425.12</v>
      </c>
      <c r="G75" s="23">
        <f t="shared" si="4"/>
        <v>61066.66</v>
      </c>
    </row>
    <row r="76" spans="1:7" ht="12.75">
      <c r="A76" s="112" t="s">
        <v>65</v>
      </c>
      <c r="B76" s="112"/>
      <c r="C76" s="112"/>
      <c r="D76" s="33">
        <f t="shared" si="5"/>
        <v>44882</v>
      </c>
      <c r="E76" s="21">
        <f t="shared" si="6"/>
        <v>56641.54</v>
      </c>
      <c r="F76" s="34">
        <f t="shared" si="7"/>
        <v>4425.12</v>
      </c>
      <c r="G76" s="23">
        <f t="shared" si="4"/>
        <v>61066.66</v>
      </c>
    </row>
    <row r="77" spans="1:7" ht="12.75">
      <c r="A77" s="112" t="s">
        <v>66</v>
      </c>
      <c r="B77" s="112"/>
      <c r="C77" s="112"/>
      <c r="D77" s="33">
        <f t="shared" si="5"/>
        <v>44912</v>
      </c>
      <c r="E77" s="21">
        <f t="shared" si="6"/>
        <v>56641.54</v>
      </c>
      <c r="F77" s="34">
        <f t="shared" si="7"/>
        <v>4425.12</v>
      </c>
      <c r="G77" s="23">
        <f t="shared" si="4"/>
        <v>61066.66</v>
      </c>
    </row>
    <row r="78" spans="1:7" ht="12.75">
      <c r="A78" s="112" t="s">
        <v>67</v>
      </c>
      <c r="B78" s="112"/>
      <c r="C78" s="112"/>
      <c r="D78" s="33">
        <f t="shared" si="5"/>
        <v>44943</v>
      </c>
      <c r="E78" s="21">
        <f t="shared" si="6"/>
        <v>56641.54</v>
      </c>
      <c r="F78" s="34">
        <f t="shared" si="7"/>
        <v>4425.12</v>
      </c>
      <c r="G78" s="23">
        <f t="shared" si="4"/>
        <v>61066.66</v>
      </c>
    </row>
    <row r="79" spans="1:7" ht="12.75">
      <c r="A79" s="112" t="s">
        <v>68</v>
      </c>
      <c r="B79" s="112"/>
      <c r="C79" s="112"/>
      <c r="D79" s="33">
        <f t="shared" si="5"/>
        <v>44974</v>
      </c>
      <c r="E79" s="21">
        <f t="shared" si="6"/>
        <v>56641.54</v>
      </c>
      <c r="F79" s="34">
        <f t="shared" si="7"/>
        <v>4425.12</v>
      </c>
      <c r="G79" s="23">
        <f t="shared" si="4"/>
        <v>61066.66</v>
      </c>
    </row>
    <row r="80" spans="1:7" ht="12.75">
      <c r="A80" s="112" t="s">
        <v>89</v>
      </c>
      <c r="B80" s="112"/>
      <c r="C80" s="112"/>
      <c r="D80" s="33">
        <f t="shared" si="5"/>
        <v>45002</v>
      </c>
      <c r="E80" s="21">
        <f t="shared" si="6"/>
        <v>56641.54</v>
      </c>
      <c r="F80" s="34">
        <f t="shared" si="7"/>
        <v>4425.12</v>
      </c>
      <c r="G80" s="23">
        <f aca="true" t="shared" si="8" ref="G80:G85">IF(NoDPSchedule&lt;VALUE(LEFT(A80,2))," ",SUM(E80:F80))</f>
        <v>61066.66</v>
      </c>
    </row>
    <row r="81" spans="1:7" ht="12.75">
      <c r="A81" s="112" t="s">
        <v>90</v>
      </c>
      <c r="B81" s="112"/>
      <c r="C81" s="112"/>
      <c r="D81" s="33">
        <f t="shared" si="5"/>
        <v>45033</v>
      </c>
      <c r="E81" s="21">
        <f t="shared" si="6"/>
        <v>56641.54</v>
      </c>
      <c r="F81" s="34">
        <f t="shared" si="7"/>
        <v>4425.12</v>
      </c>
      <c r="G81" s="23">
        <f t="shared" si="8"/>
        <v>61066.66</v>
      </c>
    </row>
    <row r="82" spans="1:7" ht="12.75">
      <c r="A82" s="112" t="s">
        <v>91</v>
      </c>
      <c r="B82" s="112"/>
      <c r="C82" s="112"/>
      <c r="D82" s="33">
        <f t="shared" si="5"/>
        <v>45063</v>
      </c>
      <c r="E82" s="21">
        <f t="shared" si="6"/>
        <v>56641.54</v>
      </c>
      <c r="F82" s="34">
        <f t="shared" si="7"/>
        <v>4425.12</v>
      </c>
      <c r="G82" s="23">
        <f t="shared" si="8"/>
        <v>61066.66</v>
      </c>
    </row>
    <row r="83" spans="1:7" ht="12.75">
      <c r="A83" s="112" t="s">
        <v>92</v>
      </c>
      <c r="B83" s="112"/>
      <c r="C83" s="112"/>
      <c r="D83" s="33">
        <f t="shared" si="5"/>
        <v>45094</v>
      </c>
      <c r="E83" s="21">
        <f t="shared" si="6"/>
        <v>56641.54</v>
      </c>
      <c r="F83" s="34">
        <f t="shared" si="7"/>
        <v>4425.12</v>
      </c>
      <c r="G83" s="23">
        <f t="shared" si="8"/>
        <v>61066.66</v>
      </c>
    </row>
    <row r="84" spans="1:7" ht="12.75">
      <c r="A84" s="112" t="s">
        <v>93</v>
      </c>
      <c r="B84" s="112"/>
      <c r="C84" s="112"/>
      <c r="D84" s="33">
        <f t="shared" si="5"/>
        <v>45124</v>
      </c>
      <c r="E84" s="21">
        <f t="shared" si="6"/>
        <v>56641.54</v>
      </c>
      <c r="F84" s="34">
        <f t="shared" si="7"/>
        <v>4425.12</v>
      </c>
      <c r="G84" s="23">
        <f t="shared" si="8"/>
        <v>61066.66</v>
      </c>
    </row>
    <row r="85" spans="1:7" ht="12.75">
      <c r="A85" s="112" t="s">
        <v>94</v>
      </c>
      <c r="B85" s="112"/>
      <c r="C85" s="112"/>
      <c r="D85" s="33">
        <f t="shared" si="5"/>
        <v>45155</v>
      </c>
      <c r="E85" s="21">
        <f t="shared" si="6"/>
        <v>56641.54</v>
      </c>
      <c r="F85" s="34">
        <f t="shared" si="7"/>
        <v>4425.12</v>
      </c>
      <c r="G85" s="23">
        <f t="shared" si="8"/>
        <v>61066.66</v>
      </c>
    </row>
    <row r="86" spans="1:7" ht="12.75">
      <c r="A86" s="112" t="s">
        <v>95</v>
      </c>
      <c r="B86" s="112"/>
      <c r="C86" s="112"/>
      <c r="D86" s="33">
        <f t="shared" si="5"/>
        <v>45186</v>
      </c>
      <c r="E86" s="21">
        <f t="shared" si="6"/>
        <v>56641.54</v>
      </c>
      <c r="F86" s="34">
        <f t="shared" si="7"/>
        <v>4425.12</v>
      </c>
      <c r="G86" s="23">
        <f aca="true" t="shared" si="9" ref="G86:G95">IF(NoDPSchedule&lt;VALUE(LEFT(A86,2))," ",SUM(E86:F86))</f>
        <v>61066.66</v>
      </c>
    </row>
    <row r="87" spans="1:7" ht="12.75">
      <c r="A87" s="112" t="s">
        <v>96</v>
      </c>
      <c r="B87" s="112"/>
      <c r="C87" s="112"/>
      <c r="D87" s="33">
        <f t="shared" si="5"/>
        <v>45216</v>
      </c>
      <c r="E87" s="21">
        <f t="shared" si="6"/>
        <v>56641.54</v>
      </c>
      <c r="F87" s="34">
        <f t="shared" si="7"/>
        <v>4425.12</v>
      </c>
      <c r="G87" s="23">
        <f t="shared" si="9"/>
        <v>61066.66</v>
      </c>
    </row>
    <row r="88" spans="1:7" ht="12.75">
      <c r="A88" s="112" t="s">
        <v>97</v>
      </c>
      <c r="B88" s="112"/>
      <c r="C88" s="112"/>
      <c r="D88" s="33">
        <f t="shared" si="5"/>
        <v>45247</v>
      </c>
      <c r="E88" s="21">
        <f t="shared" si="6"/>
        <v>56641.54</v>
      </c>
      <c r="F88" s="34">
        <f t="shared" si="7"/>
        <v>4425.12</v>
      </c>
      <c r="G88" s="23">
        <f t="shared" si="9"/>
        <v>61066.66</v>
      </c>
    </row>
    <row r="89" spans="1:7" ht="12.75">
      <c r="A89" s="112" t="s">
        <v>98</v>
      </c>
      <c r="B89" s="112"/>
      <c r="C89" s="112"/>
      <c r="D89" s="33">
        <f t="shared" si="5"/>
        <v>45277</v>
      </c>
      <c r="E89" s="21">
        <f t="shared" si="6"/>
        <v>56641.54</v>
      </c>
      <c r="F89" s="34">
        <f t="shared" si="7"/>
        <v>4425.12</v>
      </c>
      <c r="G89" s="23">
        <f t="shared" si="9"/>
        <v>61066.66</v>
      </c>
    </row>
    <row r="90" spans="1:7" ht="12.75">
      <c r="A90" s="112" t="s">
        <v>99</v>
      </c>
      <c r="B90" s="112"/>
      <c r="C90" s="112"/>
      <c r="D90" s="33">
        <f t="shared" si="5"/>
        <v>45308</v>
      </c>
      <c r="E90" s="21">
        <f t="shared" si="6"/>
        <v>56641.54</v>
      </c>
      <c r="F90" s="34">
        <f t="shared" si="7"/>
        <v>4425.12</v>
      </c>
      <c r="G90" s="23">
        <f t="shared" si="9"/>
        <v>61066.66</v>
      </c>
    </row>
    <row r="91" spans="1:7" ht="12.75">
      <c r="A91" s="112" t="s">
        <v>100</v>
      </c>
      <c r="B91" s="112"/>
      <c r="C91" s="112"/>
      <c r="D91" s="33">
        <f t="shared" si="5"/>
        <v>45339</v>
      </c>
      <c r="E91" s="21">
        <f t="shared" si="6"/>
        <v>56641.54</v>
      </c>
      <c r="F91" s="34">
        <f t="shared" si="7"/>
        <v>4425.12</v>
      </c>
      <c r="G91" s="23">
        <f t="shared" si="9"/>
        <v>61066.66</v>
      </c>
    </row>
    <row r="92" spans="1:7" ht="12.75">
      <c r="A92" s="112" t="s">
        <v>101</v>
      </c>
      <c r="B92" s="112"/>
      <c r="C92" s="112"/>
      <c r="D92" s="33">
        <f t="shared" si="5"/>
        <v>45368</v>
      </c>
      <c r="E92" s="21">
        <f t="shared" si="6"/>
        <v>56641.54</v>
      </c>
      <c r="F92" s="34">
        <f t="shared" si="7"/>
        <v>4425.12</v>
      </c>
      <c r="G92" s="23">
        <f t="shared" si="9"/>
        <v>61066.66</v>
      </c>
    </row>
    <row r="93" spans="1:7" ht="12.75">
      <c r="A93" s="112" t="s">
        <v>102</v>
      </c>
      <c r="B93" s="112"/>
      <c r="C93" s="112"/>
      <c r="D93" s="33">
        <f t="shared" si="5"/>
        <v>45399</v>
      </c>
      <c r="E93" s="21">
        <f t="shared" si="6"/>
        <v>56641.54</v>
      </c>
      <c r="F93" s="34">
        <f t="shared" si="7"/>
        <v>4425.12</v>
      </c>
      <c r="G93" s="23">
        <f t="shared" si="9"/>
        <v>61066.66</v>
      </c>
    </row>
    <row r="94" spans="1:7" ht="12.75">
      <c r="A94" s="112" t="s">
        <v>103</v>
      </c>
      <c r="B94" s="112"/>
      <c r="C94" s="112"/>
      <c r="D94" s="33">
        <f t="shared" si="5"/>
        <v>45429</v>
      </c>
      <c r="E94" s="21">
        <f t="shared" si="6"/>
        <v>56641.54</v>
      </c>
      <c r="F94" s="34">
        <f t="shared" si="7"/>
        <v>4425.12</v>
      </c>
      <c r="G94" s="23">
        <f t="shared" si="9"/>
        <v>61066.66</v>
      </c>
    </row>
    <row r="95" spans="1:7" ht="12.75">
      <c r="A95" s="112" t="s">
        <v>104</v>
      </c>
      <c r="B95" s="112"/>
      <c r="C95" s="112"/>
      <c r="D95" s="33">
        <f t="shared" si="5"/>
        <v>45460</v>
      </c>
      <c r="E95" s="21">
        <f t="shared" si="6"/>
        <v>56641.54</v>
      </c>
      <c r="F95" s="34">
        <f t="shared" si="7"/>
        <v>4425.12</v>
      </c>
      <c r="G95" s="23">
        <f t="shared" si="9"/>
        <v>61066.66</v>
      </c>
    </row>
    <row r="96" spans="1:7" ht="12.75">
      <c r="A96" s="112" t="s">
        <v>105</v>
      </c>
      <c r="B96" s="112"/>
      <c r="C96" s="112"/>
      <c r="D96" s="33">
        <f t="shared" si="5"/>
        <v>45490</v>
      </c>
      <c r="E96" s="21">
        <f t="shared" si="6"/>
        <v>56641.54</v>
      </c>
      <c r="F96" s="34">
        <f t="shared" si="7"/>
        <v>4425.12</v>
      </c>
      <c r="G96" s="23">
        <f aca="true" t="shared" si="10" ref="G96:G101">IF(NoDPSchedule&lt;VALUE(LEFT(A96,2))," ",SUM(E96:F96))</f>
        <v>61066.66</v>
      </c>
    </row>
    <row r="97" spans="1:7" ht="12.75">
      <c r="A97" s="112" t="s">
        <v>106</v>
      </c>
      <c r="B97" s="112"/>
      <c r="C97" s="112"/>
      <c r="D97" s="33">
        <f t="shared" si="5"/>
        <v>45521</v>
      </c>
      <c r="E97" s="21">
        <f t="shared" si="6"/>
        <v>56641.54</v>
      </c>
      <c r="F97" s="34">
        <f t="shared" si="7"/>
        <v>4425.12</v>
      </c>
      <c r="G97" s="23">
        <f t="shared" si="10"/>
        <v>61066.66</v>
      </c>
    </row>
    <row r="98" spans="1:7" ht="12.75">
      <c r="A98" s="112" t="s">
        <v>107</v>
      </c>
      <c r="B98" s="112"/>
      <c r="C98" s="112"/>
      <c r="D98" s="33">
        <f t="shared" si="5"/>
        <v>45552</v>
      </c>
      <c r="E98" s="21">
        <f t="shared" si="6"/>
        <v>56641.54</v>
      </c>
      <c r="F98" s="34">
        <f t="shared" si="7"/>
        <v>4425.12</v>
      </c>
      <c r="G98" s="23">
        <f t="shared" si="10"/>
        <v>61066.66</v>
      </c>
    </row>
    <row r="99" spans="1:7" ht="12.75">
      <c r="A99" s="112" t="s">
        <v>108</v>
      </c>
      <c r="B99" s="112"/>
      <c r="C99" s="112"/>
      <c r="D99" s="33">
        <f t="shared" si="5"/>
        <v>45582</v>
      </c>
      <c r="E99" s="21">
        <f t="shared" si="6"/>
        <v>56641.54</v>
      </c>
      <c r="F99" s="34">
        <f t="shared" si="7"/>
        <v>4425.12</v>
      </c>
      <c r="G99" s="23">
        <f t="shared" si="10"/>
        <v>61066.66</v>
      </c>
    </row>
    <row r="100" spans="1:7" ht="12.75">
      <c r="A100" s="112" t="s">
        <v>109</v>
      </c>
      <c r="B100" s="112"/>
      <c r="C100" s="112"/>
      <c r="D100" s="33">
        <f t="shared" si="5"/>
        <v>45613</v>
      </c>
      <c r="E100" s="21">
        <f t="shared" si="6"/>
        <v>56641.54</v>
      </c>
      <c r="F100" s="34">
        <f t="shared" si="7"/>
        <v>4425.12</v>
      </c>
      <c r="G100" s="23">
        <f t="shared" si="10"/>
        <v>61066.66</v>
      </c>
    </row>
    <row r="101" spans="1:7" ht="12.75">
      <c r="A101" s="112" t="s">
        <v>110</v>
      </c>
      <c r="B101" s="112"/>
      <c r="C101" s="112"/>
      <c r="D101" s="33">
        <f t="shared" si="5"/>
        <v>45643</v>
      </c>
      <c r="E101" s="21">
        <f t="shared" si="6"/>
        <v>56641.54</v>
      </c>
      <c r="F101" s="34">
        <f t="shared" si="7"/>
        <v>4425.12</v>
      </c>
      <c r="G101" s="23">
        <f t="shared" si="10"/>
        <v>61066.66</v>
      </c>
    </row>
    <row r="102" spans="1:7" ht="12.75">
      <c r="A102" s="112" t="s">
        <v>111</v>
      </c>
      <c r="B102" s="112"/>
      <c r="C102" s="112"/>
      <c r="D102" s="33">
        <f>IF($A$43&lt;VALUE(LEFT(A102,2))," ",DATE(YEAR(D101+30),MONTH(D101+30),DAY(D101)))</f>
        <v>45674</v>
      </c>
      <c r="E102" s="21">
        <f>IF($A$43&lt;VALUE(LEFT(A102,2))," ",IF($A$43=VALUE(LEFT(A102,2)),$G$39-($E$44*($A$43-1)),E101))</f>
        <v>56641.54</v>
      </c>
      <c r="F102" s="34">
        <f>IF($A$43&lt;VALUE(LEFT(A102,2))," ",IF($A$43=VALUE(LEFT(A102,2)),$G$40-($F$44*($A$43-1)),F101))</f>
        <v>4425.12</v>
      </c>
      <c r="G102" s="23">
        <f>IF(NoDPSchedule&lt;VALUE(LEFT(A102,2))," ",SUM(E102:F102))</f>
        <v>61066.66</v>
      </c>
    </row>
    <row r="103" spans="1:7" ht="12.75">
      <c r="A103" s="112" t="s">
        <v>112</v>
      </c>
      <c r="B103" s="112"/>
      <c r="C103" s="112"/>
      <c r="D103" s="33">
        <f>IF($A$43&lt;VALUE(LEFT(A103,2))," ",DATE(YEAR(D102+30),MONTH(D102+30),DAY(D102)))</f>
        <v>45705</v>
      </c>
      <c r="E103" s="21">
        <f>IF($A$43&lt;VALUE(LEFT(A103,2))," ",IF($A$43=VALUE(LEFT(A103,2)),$G$39-($E$44*($A$43-1)),E102))</f>
        <v>56641.30000000028</v>
      </c>
      <c r="F103" s="34">
        <f>IF($A$43&lt;VALUE(LEFT(A103,2))," ",IF($A$43=VALUE(LEFT(A103,2)),$G$40-($F$44*($A$43-1)),F102))</f>
        <v>4425.120000000024</v>
      </c>
      <c r="G103" s="23">
        <f>IF(NoDPSchedule&lt;VALUE(LEFT(A103,2))," ",SUM(E103:F103))</f>
        <v>61066.420000000304</v>
      </c>
    </row>
    <row r="105" spans="1:4" ht="12.75">
      <c r="A105" s="38" t="s">
        <v>69</v>
      </c>
      <c r="B105" s="39"/>
      <c r="C105" s="39"/>
      <c r="D105" s="39"/>
    </row>
    <row r="106" spans="1:7" ht="12.75">
      <c r="A106" s="103" t="s">
        <v>114</v>
      </c>
      <c r="B106" s="103"/>
      <c r="C106" s="103"/>
      <c r="D106" s="103"/>
      <c r="E106" s="103"/>
      <c r="F106" s="103"/>
      <c r="G106" s="103"/>
    </row>
    <row r="107" spans="1:4" ht="12.75">
      <c r="A107" s="39" t="s">
        <v>70</v>
      </c>
      <c r="B107" s="39"/>
      <c r="C107" s="39"/>
      <c r="D107" s="39"/>
    </row>
    <row r="108" spans="1:4" ht="12.75">
      <c r="A108" s="39" t="s">
        <v>71</v>
      </c>
      <c r="B108" s="39"/>
      <c r="C108" s="39"/>
      <c r="D108" s="39"/>
    </row>
    <row r="109" spans="1:4" ht="12.75">
      <c r="A109" s="39" t="s">
        <v>72</v>
      </c>
      <c r="B109" s="39"/>
      <c r="C109" s="39"/>
      <c r="D109" s="39"/>
    </row>
    <row r="110" spans="1:4" ht="12.75">
      <c r="A110" s="40" t="s">
        <v>73</v>
      </c>
      <c r="B110" s="39"/>
      <c r="C110" s="39"/>
      <c r="D110" s="39"/>
    </row>
    <row r="111" spans="1:4" ht="12.75">
      <c r="A111" s="40" t="s">
        <v>74</v>
      </c>
      <c r="B111" s="39"/>
      <c r="C111" s="39"/>
      <c r="D111" s="39"/>
    </row>
    <row r="112" spans="1:4" ht="12.75">
      <c r="A112" s="40" t="s">
        <v>75</v>
      </c>
      <c r="B112" s="39"/>
      <c r="C112" s="39"/>
      <c r="D112" s="39"/>
    </row>
    <row r="113" spans="1:4" ht="12.75">
      <c r="A113" s="40" t="s">
        <v>76</v>
      </c>
      <c r="B113" s="39"/>
      <c r="C113" s="39"/>
      <c r="D113" s="39"/>
    </row>
    <row r="114" spans="1:4" ht="12.75">
      <c r="A114" s="40" t="s">
        <v>77</v>
      </c>
      <c r="B114" s="39"/>
      <c r="C114" s="39"/>
      <c r="D114" s="39"/>
    </row>
    <row r="115" spans="1:7" ht="12.75">
      <c r="A115" s="103" t="s">
        <v>115</v>
      </c>
      <c r="B115" s="103"/>
      <c r="C115" s="103"/>
      <c r="D115" s="103"/>
      <c r="E115" s="103"/>
      <c r="F115" s="103"/>
      <c r="G115" s="103"/>
    </row>
    <row r="116" spans="1:7" ht="12.75">
      <c r="A116" s="103"/>
      <c r="B116" s="103"/>
      <c r="C116" s="103"/>
      <c r="D116" s="103"/>
      <c r="E116" s="103"/>
      <c r="F116" s="103"/>
      <c r="G116" s="103"/>
    </row>
  </sheetData>
  <sheetProtection/>
  <mergeCells count="69">
    <mergeCell ref="B1:F1"/>
    <mergeCell ref="B2:F2"/>
    <mergeCell ref="A3:G3"/>
    <mergeCell ref="F6:G6"/>
    <mergeCell ref="F7:G7"/>
    <mergeCell ref="A48:C48"/>
    <mergeCell ref="A44:C44"/>
    <mergeCell ref="B43:C43"/>
    <mergeCell ref="A45:C45"/>
    <mergeCell ref="A46:C46"/>
    <mergeCell ref="A54:C54"/>
    <mergeCell ref="A102:C102"/>
    <mergeCell ref="A103:C103"/>
    <mergeCell ref="A49:C49"/>
    <mergeCell ref="A50:C50"/>
    <mergeCell ref="A51:C51"/>
    <mergeCell ref="A52:C52"/>
    <mergeCell ref="A53:C53"/>
    <mergeCell ref="A62:C62"/>
    <mergeCell ref="A60:C60"/>
    <mergeCell ref="A47:C47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1:C61"/>
    <mergeCell ref="A82:C82"/>
    <mergeCell ref="A67:C67"/>
    <mergeCell ref="A68:C68"/>
    <mergeCell ref="A69:C69"/>
    <mergeCell ref="A70:C70"/>
    <mergeCell ref="A71:C71"/>
    <mergeCell ref="A72:C72"/>
    <mergeCell ref="A73:C73"/>
    <mergeCell ref="A92:C92"/>
    <mergeCell ref="A85:C85"/>
    <mergeCell ref="A74:C74"/>
    <mergeCell ref="A75:C75"/>
    <mergeCell ref="A76:C76"/>
    <mergeCell ref="A77:C77"/>
    <mergeCell ref="A78:C78"/>
    <mergeCell ref="A79:C79"/>
    <mergeCell ref="A80:C80"/>
    <mergeCell ref="A81:C81"/>
    <mergeCell ref="A106:G106"/>
    <mergeCell ref="A83:C83"/>
    <mergeCell ref="A84:C84"/>
    <mergeCell ref="A97:C97"/>
    <mergeCell ref="A86:C86"/>
    <mergeCell ref="A87:C87"/>
    <mergeCell ref="A88:C88"/>
    <mergeCell ref="A89:C89"/>
    <mergeCell ref="A90:C90"/>
    <mergeCell ref="A91:C91"/>
    <mergeCell ref="A115:G115"/>
    <mergeCell ref="A93:C93"/>
    <mergeCell ref="A94:C94"/>
    <mergeCell ref="A95:C95"/>
    <mergeCell ref="A96:C96"/>
    <mergeCell ref="A116:G116"/>
    <mergeCell ref="A98:C98"/>
    <mergeCell ref="A99:C99"/>
    <mergeCell ref="A100:C100"/>
    <mergeCell ref="A101:C101"/>
  </mergeCells>
  <conditionalFormatting sqref="A45:C52">
    <cfRule type="expression" priority="1" dxfId="13" stopIfTrue="1">
      <formula>VALUE(NoDPSchedule)&lt;VALUE(LEFT(A45,1))</formula>
    </cfRule>
  </conditionalFormatting>
  <conditionalFormatting sqref="A53:C103">
    <cfRule type="expression" priority="2" dxfId="13" stopIfTrue="1">
      <formula>VALUE(NoDPSchedule)&lt;VALUE(LEFT(A53,2))</formula>
    </cfRule>
  </conditionalFormatting>
  <conditionalFormatting sqref="G11 G25">
    <cfRule type="expression" priority="3" dxfId="13" stopIfTrue="1">
      <formula>G11=0</formula>
    </cfRule>
  </conditionalFormatting>
  <conditionalFormatting sqref="B11">
    <cfRule type="expression" priority="4" dxfId="13" stopIfTrue="1">
      <formula>G11=0</formula>
    </cfRule>
  </conditionalFormatting>
  <conditionalFormatting sqref="B25">
    <cfRule type="expression" priority="5" dxfId="13" stopIfTrue="1">
      <formula>G25=0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26"/>
  <sheetViews>
    <sheetView zoomScalePageLayoutView="0" workbookViewId="0" topLeftCell="A1">
      <selection activeCell="H32" sqref="H32"/>
    </sheetView>
  </sheetViews>
  <sheetFormatPr defaultColWidth="12.375" defaultRowHeight="12.75" customHeight="1"/>
  <cols>
    <col min="1" max="4" width="12.375" style="57" customWidth="1"/>
    <col min="5" max="6" width="14.625" style="57" customWidth="1"/>
    <col min="7" max="7" width="17.50390625" style="57" customWidth="1"/>
    <col min="8" max="9" width="15.00390625" style="57" customWidth="1"/>
    <col min="10" max="10" width="14.125" style="57" customWidth="1"/>
    <col min="11" max="16384" width="12.375" style="57" customWidth="1"/>
  </cols>
  <sheetData>
    <row r="1" spans="1:6" ht="20.25" customHeight="1" thickBot="1">
      <c r="A1" s="55" t="s">
        <v>117</v>
      </c>
      <c r="B1" s="55"/>
      <c r="C1" s="55"/>
      <c r="D1" s="55"/>
      <c r="E1" s="56"/>
      <c r="F1" s="56"/>
    </row>
    <row r="2" spans="1:7" ht="14.25" customHeight="1" thickTop="1">
      <c r="A2" s="58"/>
      <c r="B2" s="116" t="s">
        <v>0</v>
      </c>
      <c r="C2" s="116"/>
      <c r="D2" s="116"/>
      <c r="E2" s="116"/>
      <c r="F2" s="116"/>
      <c r="G2" s="59"/>
    </row>
    <row r="3" spans="1:7" ht="14.25" customHeight="1">
      <c r="A3" s="60"/>
      <c r="B3" s="117" t="s">
        <v>1</v>
      </c>
      <c r="C3" s="117"/>
      <c r="D3" s="117"/>
      <c r="E3" s="117"/>
      <c r="F3" s="117"/>
      <c r="G3" s="61"/>
    </row>
    <row r="4" spans="1:7" ht="30" customHeight="1">
      <c r="A4" s="118" t="s">
        <v>113</v>
      </c>
      <c r="B4" s="119"/>
      <c r="C4" s="119"/>
      <c r="D4" s="119"/>
      <c r="E4" s="119"/>
      <c r="F4" s="119"/>
      <c r="G4" s="120"/>
    </row>
    <row r="5" spans="1:7" ht="15" customHeight="1" thickBot="1">
      <c r="A5" s="62">
        <f>IF(A48&lt;=12,12,A48)</f>
        <v>60</v>
      </c>
      <c r="B5" s="63"/>
      <c r="C5" s="63"/>
      <c r="D5" s="64" t="str">
        <f>IF(A48&gt;G6,"TERM IS SUBJECT FOR APPROVAL","SAMPLE COMPUTATION ONLY")</f>
        <v>TERM IS SUBJECT FOR APPROVAL</v>
      </c>
      <c r="E5" s="63"/>
      <c r="F5" s="63"/>
      <c r="G5" s="65"/>
    </row>
    <row r="6" ht="13.5" customHeight="1" thickTop="1">
      <c r="G6" s="66">
        <v>36</v>
      </c>
    </row>
    <row r="7" spans="1:7" ht="12.75">
      <c r="A7" s="18" t="s">
        <v>2</v>
      </c>
      <c r="B7" s="18" t="s">
        <v>3</v>
      </c>
      <c r="C7" s="18" t="s">
        <v>4</v>
      </c>
      <c r="D7" s="18" t="s">
        <v>5</v>
      </c>
      <c r="E7" s="18"/>
      <c r="F7" s="110" t="s">
        <v>6</v>
      </c>
      <c r="G7" s="110"/>
    </row>
    <row r="8" spans="1:7" ht="12.75">
      <c r="A8" s="1">
        <v>1</v>
      </c>
      <c r="B8" s="1">
        <v>610</v>
      </c>
      <c r="C8" s="1">
        <v>6</v>
      </c>
      <c r="D8" s="1">
        <v>22.4</v>
      </c>
      <c r="E8" s="1"/>
      <c r="F8" s="111" t="s">
        <v>7</v>
      </c>
      <c r="G8" s="111"/>
    </row>
    <row r="9" spans="1:7" ht="12.75" customHeight="1">
      <c r="A9" s="2"/>
      <c r="B9" s="2"/>
      <c r="C9" s="2"/>
      <c r="D9" s="2"/>
      <c r="E9" s="2"/>
      <c r="F9" s="2"/>
      <c r="G9" s="2"/>
    </row>
    <row r="10" spans="1:7" ht="12.75" customHeight="1">
      <c r="A10" s="2"/>
      <c r="B10" s="2"/>
      <c r="C10" s="2"/>
      <c r="D10" s="2"/>
      <c r="E10" s="2"/>
      <c r="F10" s="2"/>
      <c r="G10" s="2"/>
    </row>
    <row r="11" spans="1:7" ht="12.75">
      <c r="A11" s="3" t="s">
        <v>8</v>
      </c>
      <c r="B11" s="3"/>
      <c r="C11" s="4"/>
      <c r="D11" s="5"/>
      <c r="E11" s="5"/>
      <c r="F11" s="6" t="s">
        <v>9</v>
      </c>
      <c r="G11" s="7">
        <v>4425120</v>
      </c>
    </row>
    <row r="12" spans="1:7" ht="12.75">
      <c r="A12" s="57" t="s">
        <v>10</v>
      </c>
      <c r="B12" s="57" t="s">
        <v>11</v>
      </c>
      <c r="C12" s="67"/>
      <c r="F12" s="68"/>
      <c r="G12" s="69">
        <f>ROUND(IF(ISERROR(FIND("PARKING",Model,1)),IF(SellingPrice&gt;3199200,(G11-(G11/1.12)),0),(G11-(G11/1.12))),2)</f>
        <v>474120</v>
      </c>
    </row>
    <row r="13" spans="1:10" ht="12.75">
      <c r="A13" s="70">
        <v>10</v>
      </c>
      <c r="B13" s="57" t="str">
        <f>CONCATENATE(A13,"% Discount on ",A40,"% SFDP")</f>
        <v>10% Discount on 10% SFDP</v>
      </c>
      <c r="F13" s="68"/>
      <c r="G13" s="71">
        <f>(G11-G12-Discount2Value)*(PercentageDiscount/100)*(SpotDownpayment/100)</f>
        <v>39510</v>
      </c>
      <c r="H13" s="71"/>
      <c r="I13" s="71"/>
      <c r="J13" s="71"/>
    </row>
    <row r="14" spans="2:10" ht="12.75" hidden="1">
      <c r="B14" s="57" t="s">
        <v>12</v>
      </c>
      <c r="G14" s="71">
        <v>0</v>
      </c>
      <c r="H14" s="71"/>
      <c r="I14" s="71"/>
      <c r="J14" s="71"/>
    </row>
    <row r="15" spans="2:10" ht="12.75" hidden="1">
      <c r="B15" s="57" t="s">
        <v>13</v>
      </c>
      <c r="G15" s="71">
        <v>0</v>
      </c>
      <c r="H15" s="71"/>
      <c r="I15" s="71"/>
      <c r="J15" s="71"/>
    </row>
    <row r="16" spans="2:9" ht="12.75" hidden="1">
      <c r="B16" s="57" t="s">
        <v>14</v>
      </c>
      <c r="G16" s="71">
        <v>0</v>
      </c>
      <c r="I16" s="71"/>
    </row>
    <row r="17" spans="2:9" ht="12.75" hidden="1">
      <c r="B17" s="57" t="s">
        <v>15</v>
      </c>
      <c r="D17" s="72" t="s">
        <v>16</v>
      </c>
      <c r="G17" s="71"/>
      <c r="I17" s="71"/>
    </row>
    <row r="18" spans="2:9" ht="12.75" hidden="1">
      <c r="B18" s="57" t="s">
        <v>17</v>
      </c>
      <c r="D18" s="73"/>
      <c r="G18" s="71">
        <v>0</v>
      </c>
      <c r="I18" s="71"/>
    </row>
    <row r="19" spans="2:10" ht="12.75" hidden="1">
      <c r="B19" s="57" t="s">
        <v>18</v>
      </c>
      <c r="D19" s="73"/>
      <c r="G19" s="71">
        <v>0</v>
      </c>
      <c r="H19" s="71"/>
      <c r="I19" s="71"/>
      <c r="J19" s="71"/>
    </row>
    <row r="20" spans="2:10" ht="12.75" hidden="1">
      <c r="B20" s="57" t="s">
        <v>19</v>
      </c>
      <c r="D20" s="73"/>
      <c r="G20" s="71">
        <v>0</v>
      </c>
      <c r="J20" s="71"/>
    </row>
    <row r="21" spans="2:10" ht="12.75" hidden="1">
      <c r="B21" s="57" t="s">
        <v>20</v>
      </c>
      <c r="D21" s="73"/>
      <c r="G21" s="71">
        <v>0</v>
      </c>
      <c r="J21" s="71"/>
    </row>
    <row r="22" spans="2:10" ht="12.75" hidden="1">
      <c r="B22" s="57" t="s">
        <v>21</v>
      </c>
      <c r="D22" s="73"/>
      <c r="G22" s="71">
        <v>0</v>
      </c>
      <c r="J22" s="71"/>
    </row>
    <row r="23" spans="2:10" ht="12.75" hidden="1">
      <c r="B23" s="57" t="s">
        <v>21</v>
      </c>
      <c r="D23" s="73"/>
      <c r="G23" s="71">
        <v>0</v>
      </c>
      <c r="J23" s="71"/>
    </row>
    <row r="24" spans="4:10" ht="13.5" customHeight="1">
      <c r="D24" s="73"/>
      <c r="F24" s="68"/>
      <c r="G24" s="74"/>
      <c r="J24" s="71"/>
    </row>
    <row r="25" spans="1:7" ht="13.5" customHeight="1">
      <c r="A25" s="75" t="s">
        <v>118</v>
      </c>
      <c r="B25" s="75"/>
      <c r="C25" s="76"/>
      <c r="D25" s="77"/>
      <c r="E25" s="77"/>
      <c r="F25" s="78" t="s">
        <v>9</v>
      </c>
      <c r="G25" s="79">
        <f>(SellingPrice-G12)-SUM(G13:G23)</f>
        <v>3911490</v>
      </c>
    </row>
    <row r="26" spans="1:9" ht="12.75">
      <c r="A26" s="57" t="s">
        <v>22</v>
      </c>
      <c r="B26" s="57" t="s">
        <v>11</v>
      </c>
      <c r="G26" s="71">
        <f>ROUND(IF(ISERROR(FIND("PARKING",Model,1)),IF(G25&gt;3199200,G25*12%,0),G25*12%),2)</f>
        <v>469378.8</v>
      </c>
      <c r="I26" s="71"/>
    </row>
    <row r="27" spans="1:7" ht="12.75" hidden="1">
      <c r="A27" s="70">
        <v>7</v>
      </c>
      <c r="B27" s="57" t="s">
        <v>23</v>
      </c>
      <c r="G27" s="71">
        <f>ROUND(G25*(A27/100),2)</f>
        <v>273804.3</v>
      </c>
    </row>
    <row r="28" spans="1:7" ht="12.75" hidden="1">
      <c r="A28" s="70"/>
      <c r="B28" s="57" t="s">
        <v>24</v>
      </c>
      <c r="F28" s="70">
        <f>IF(G28&gt;50000,50000,G28)</f>
        <v>0</v>
      </c>
      <c r="G28" s="71">
        <v>0</v>
      </c>
    </row>
    <row r="29" spans="1:7" ht="12.75" hidden="1">
      <c r="A29" s="70"/>
      <c r="B29" s="57" t="s">
        <v>25</v>
      </c>
      <c r="G29" s="71">
        <v>0</v>
      </c>
    </row>
    <row r="30" spans="1:7" ht="13.5" customHeight="1">
      <c r="A30" s="70"/>
      <c r="B30" s="57" t="s">
        <v>23</v>
      </c>
      <c r="G30" s="71">
        <f>ROUND(SUM(G27,G29,F28),2)</f>
        <v>273804.3</v>
      </c>
    </row>
    <row r="31" spans="1:7" ht="13.5" customHeight="1">
      <c r="A31" s="75" t="s">
        <v>26</v>
      </c>
      <c r="B31" s="75"/>
      <c r="C31" s="76"/>
      <c r="D31" s="77"/>
      <c r="E31" s="77"/>
      <c r="F31" s="78" t="s">
        <v>9</v>
      </c>
      <c r="G31" s="79">
        <f>G25+SUM(G26,G30)</f>
        <v>4654673.1</v>
      </c>
    </row>
    <row r="33" ht="12.75">
      <c r="A33" s="80" t="s">
        <v>27</v>
      </c>
    </row>
    <row r="34" spans="1:7" ht="12.75">
      <c r="A34" s="81">
        <v>20</v>
      </c>
      <c r="B34" s="57" t="str">
        <f>CONCATENATE("Downpayment ("&amp;A34&amp;"% of Selling Price)")</f>
        <v>Downpayment (20% of Selling Price)</v>
      </c>
      <c r="G34" s="71">
        <f>ROUND((G25+G26)*(A34/100),2)</f>
        <v>876173.76</v>
      </c>
    </row>
    <row r="35" spans="1:7" ht="13.5" customHeight="1">
      <c r="A35" s="80"/>
      <c r="B35" s="57" t="s">
        <v>119</v>
      </c>
      <c r="G35" s="71">
        <f>ROUND(G30*(A34/100),2)</f>
        <v>54760.86</v>
      </c>
    </row>
    <row r="36" spans="1:7" ht="13.5" customHeight="1">
      <c r="A36" s="75" t="s">
        <v>120</v>
      </c>
      <c r="B36" s="75"/>
      <c r="C36" s="76"/>
      <c r="D36" s="77"/>
      <c r="E36" s="77"/>
      <c r="F36" s="78" t="s">
        <v>9</v>
      </c>
      <c r="G36" s="79">
        <f>SUM(G34:G35)</f>
        <v>930934.62</v>
      </c>
    </row>
    <row r="37" spans="1:7" ht="13.5" customHeight="1">
      <c r="A37" s="57" t="s">
        <v>10</v>
      </c>
      <c r="B37" s="57" t="s">
        <v>28</v>
      </c>
      <c r="F37" s="82">
        <f ca="1">NOW()</f>
        <v>43848.59646550926</v>
      </c>
      <c r="G37" s="71">
        <v>20000</v>
      </c>
    </row>
    <row r="38" spans="1:7" ht="13.5" customHeight="1">
      <c r="A38" s="75" t="s">
        <v>121</v>
      </c>
      <c r="B38" s="75"/>
      <c r="C38" s="76"/>
      <c r="D38" s="77"/>
      <c r="E38" s="77"/>
      <c r="F38" s="78" t="s">
        <v>9</v>
      </c>
      <c r="G38" s="79">
        <f>G36-G37</f>
        <v>910934.62</v>
      </c>
    </row>
    <row r="40" spans="1:10" ht="12.75">
      <c r="A40" s="70">
        <v>10</v>
      </c>
      <c r="B40" s="57" t="str">
        <f>CONCATENATE("Spot Downpayment ("&amp;A40&amp;"% of Selling Price)")</f>
        <v>Spot Downpayment (10% of Selling Price)</v>
      </c>
      <c r="E40" s="83"/>
      <c r="F40" s="82"/>
      <c r="G40" s="71">
        <f>ROUND((SUM(G25:G26)*(A40/100))-G37,2)</f>
        <v>418086.88</v>
      </c>
      <c r="H40" s="71"/>
      <c r="I40" s="71"/>
      <c r="J40" s="84"/>
    </row>
    <row r="41" spans="2:10" ht="13.5" customHeight="1" thickBot="1">
      <c r="B41" s="57" t="s">
        <v>23</v>
      </c>
      <c r="E41" s="83"/>
      <c r="F41" s="82"/>
      <c r="G41" s="71">
        <f>ROUND(G30*(A40/100),2)</f>
        <v>27380.43</v>
      </c>
      <c r="J41" s="71"/>
    </row>
    <row r="42" spans="2:7" ht="13.5" customHeight="1" thickTop="1">
      <c r="B42" s="85" t="s">
        <v>122</v>
      </c>
      <c r="E42" s="83"/>
      <c r="F42" s="82">
        <f>ReservationDate+19</f>
        <v>43867.59646550926</v>
      </c>
      <c r="G42" s="86">
        <f>SUM(G40:G41)</f>
        <v>445467.31</v>
      </c>
    </row>
    <row r="43" spans="2:7" ht="12.75">
      <c r="B43" s="87"/>
      <c r="E43" s="83"/>
      <c r="F43" s="82"/>
      <c r="G43" s="88"/>
    </row>
    <row r="44" spans="1:7" ht="12.75">
      <c r="A44" s="70">
        <f>A34-A40</f>
        <v>10</v>
      </c>
      <c r="B44" s="89" t="str">
        <f>CONCATENATE("Streched Downpayment ("&amp;A44&amp;"% of Selling Price)")</f>
        <v>Streched Downpayment (10% of Selling Price)</v>
      </c>
      <c r="E44" s="83"/>
      <c r="F44" s="82"/>
      <c r="G44" s="71">
        <f>G34-G40-ReservationFee</f>
        <v>438086.88</v>
      </c>
    </row>
    <row r="45" spans="2:7" ht="13.5" customHeight="1" thickBot="1">
      <c r="B45" s="89" t="s">
        <v>23</v>
      </c>
      <c r="E45" s="83"/>
      <c r="F45" s="82"/>
      <c r="G45" s="71">
        <f>SUM(G35:G35)-G41</f>
        <v>27380.43</v>
      </c>
    </row>
    <row r="46" spans="2:7" ht="13.5" customHeight="1" thickTop="1">
      <c r="B46" s="85" t="str">
        <f>CONCATENATE("Total Streched DP and Other Charges payable in "&amp;A48&amp;" months")</f>
        <v>Total Streched DP and Other Charges payable in 60 months</v>
      </c>
      <c r="E46" s="83"/>
      <c r="F46" s="82"/>
      <c r="G46" s="86">
        <f>SUM(G44:G45)</f>
        <v>465467.31</v>
      </c>
    </row>
    <row r="47" spans="2:7" ht="12.75">
      <c r="B47" s="89"/>
      <c r="E47" s="83"/>
      <c r="F47" s="82"/>
      <c r="G47" s="88"/>
    </row>
    <row r="48" spans="1:7" ht="25.5" customHeight="1">
      <c r="A48" s="90">
        <v>60</v>
      </c>
      <c r="B48" s="121" t="s">
        <v>29</v>
      </c>
      <c r="C48" s="121"/>
      <c r="D48" s="91" t="s">
        <v>30</v>
      </c>
      <c r="E48" s="92" t="s">
        <v>31</v>
      </c>
      <c r="F48" s="93" t="s">
        <v>23</v>
      </c>
      <c r="G48" s="94" t="s">
        <v>32</v>
      </c>
    </row>
    <row r="49" spans="1:7" ht="12.75">
      <c r="A49" s="115" t="s">
        <v>33</v>
      </c>
      <c r="B49" s="115"/>
      <c r="C49" s="115"/>
      <c r="D49" s="96">
        <f>IF(AND(DAY(F42)&gt;2,DAY(F42)&lt;19),DATE(YEAR(F42+30),MONTH(F42+30),DAY(17)),DATE(YEAR(F42+30),MONTH(F42+30)+1,DAY(2)))</f>
        <v>43907</v>
      </c>
      <c r="E49" s="69">
        <f>ROUND(G44/A48,2)</f>
        <v>7301.45</v>
      </c>
      <c r="F49" s="97">
        <f>ROUND(G45/A48,2)</f>
        <v>456.34</v>
      </c>
      <c r="G49" s="71">
        <f>SUM(E49:F49)</f>
        <v>7757.79</v>
      </c>
    </row>
    <row r="50" spans="1:7" ht="12.75">
      <c r="A50" s="115" t="s">
        <v>34</v>
      </c>
      <c r="B50" s="115"/>
      <c r="C50" s="115"/>
      <c r="D50" s="96">
        <f>IF($A$48&lt;VALUE(LEFT(A50,1))," ",DATE(YEAR(D49+30),MONTH(D49+30),DAY(D49)))</f>
        <v>43938</v>
      </c>
      <c r="E50" s="69">
        <f>IF($A$48&lt;VALUE(LEFT(A50,1))," ",IF($A$48=VALUE(LEFT(A50,1)),$G$44-($E$49*($A$48-1)),E49))</f>
        <v>7301.45</v>
      </c>
      <c r="F50" s="97">
        <f>IF($A$48&lt;VALUE(LEFT(A50,1))," ",IF($A$48=VALUE(LEFT(A50,1)),$G$45-($F$49*($A$48-1)),F49))</f>
        <v>456.34</v>
      </c>
      <c r="G50" s="71">
        <f>IF($A$48&lt;VALUE(LEFT(A50,1))," ",SUM(E50:F50))</f>
        <v>7757.79</v>
      </c>
    </row>
    <row r="51" spans="1:7" ht="12.75">
      <c r="A51" s="115" t="s">
        <v>35</v>
      </c>
      <c r="B51" s="115"/>
      <c r="C51" s="115"/>
      <c r="D51" s="96">
        <f>IF($A$48&lt;VALUE(LEFT(A51,1))," ",DATE(YEAR(D50+30),MONTH(D50+30),DAY(D50)))</f>
        <v>43968</v>
      </c>
      <c r="E51" s="69">
        <f aca="true" t="shared" si="0" ref="E51:E57">IF($A$48&lt;VALUE(LEFT(A51,1))," ",IF($A$48=VALUE(LEFT(A51,1)),$G$44-($E$49*($A$48-1)),E50))</f>
        <v>7301.45</v>
      </c>
      <c r="F51" s="97">
        <f aca="true" t="shared" si="1" ref="F51:F57">IF($A$48&lt;VALUE(LEFT(A51,1))," ",IF($A$48=VALUE(LEFT(A51,1)),$G$45-($F$49*($A$48-1)),F50))</f>
        <v>456.34</v>
      </c>
      <c r="G51" s="71">
        <f aca="true" t="shared" si="2" ref="G51:G57">IF($A$48&lt;VALUE(LEFT(A51,1))," ",SUM(E51:F51))</f>
        <v>7757.79</v>
      </c>
    </row>
    <row r="52" spans="1:7" ht="12.75">
      <c r="A52" s="115" t="s">
        <v>36</v>
      </c>
      <c r="B52" s="115"/>
      <c r="C52" s="115"/>
      <c r="D52" s="96">
        <f aca="true" t="shared" si="3" ref="D52:D57">IF($A$48&lt;VALUE(LEFT(A52,1))," ",DATE(YEAR(D51+30),MONTH(D51+30),DAY(D51)))</f>
        <v>43999</v>
      </c>
      <c r="E52" s="69">
        <f t="shared" si="0"/>
        <v>7301.45</v>
      </c>
      <c r="F52" s="97">
        <f t="shared" si="1"/>
        <v>456.34</v>
      </c>
      <c r="G52" s="71">
        <f t="shared" si="2"/>
        <v>7757.79</v>
      </c>
    </row>
    <row r="53" spans="1:7" ht="12.75">
      <c r="A53" s="115" t="s">
        <v>37</v>
      </c>
      <c r="B53" s="115"/>
      <c r="C53" s="115"/>
      <c r="D53" s="96">
        <f t="shared" si="3"/>
        <v>44029</v>
      </c>
      <c r="E53" s="69">
        <f t="shared" si="0"/>
        <v>7301.45</v>
      </c>
      <c r="F53" s="97">
        <f t="shared" si="1"/>
        <v>456.34</v>
      </c>
      <c r="G53" s="71">
        <f t="shared" si="2"/>
        <v>7757.79</v>
      </c>
    </row>
    <row r="54" spans="1:7" ht="12.75">
      <c r="A54" s="115" t="s">
        <v>38</v>
      </c>
      <c r="B54" s="115"/>
      <c r="C54" s="115"/>
      <c r="D54" s="96">
        <f t="shared" si="3"/>
        <v>44060</v>
      </c>
      <c r="E54" s="69">
        <f t="shared" si="0"/>
        <v>7301.45</v>
      </c>
      <c r="F54" s="97">
        <f t="shared" si="1"/>
        <v>456.34</v>
      </c>
      <c r="G54" s="71">
        <f t="shared" si="2"/>
        <v>7757.79</v>
      </c>
    </row>
    <row r="55" spans="1:7" ht="12.75">
      <c r="A55" s="115" t="s">
        <v>39</v>
      </c>
      <c r="B55" s="115"/>
      <c r="C55" s="115"/>
      <c r="D55" s="96">
        <f t="shared" si="3"/>
        <v>44091</v>
      </c>
      <c r="E55" s="69">
        <f t="shared" si="0"/>
        <v>7301.45</v>
      </c>
      <c r="F55" s="97">
        <f t="shared" si="1"/>
        <v>456.34</v>
      </c>
      <c r="G55" s="71">
        <f t="shared" si="2"/>
        <v>7757.79</v>
      </c>
    </row>
    <row r="56" spans="1:7" ht="12.75">
      <c r="A56" s="115" t="s">
        <v>40</v>
      </c>
      <c r="B56" s="115"/>
      <c r="C56" s="115"/>
      <c r="D56" s="96">
        <f t="shared" si="3"/>
        <v>44121</v>
      </c>
      <c r="E56" s="69">
        <f t="shared" si="0"/>
        <v>7301.45</v>
      </c>
      <c r="F56" s="97">
        <f t="shared" si="1"/>
        <v>456.34</v>
      </c>
      <c r="G56" s="71">
        <f t="shared" si="2"/>
        <v>7757.79</v>
      </c>
    </row>
    <row r="57" spans="1:7" ht="12.75">
      <c r="A57" s="115" t="s">
        <v>41</v>
      </c>
      <c r="B57" s="115"/>
      <c r="C57" s="115"/>
      <c r="D57" s="96">
        <f t="shared" si="3"/>
        <v>44152</v>
      </c>
      <c r="E57" s="69">
        <f t="shared" si="0"/>
        <v>7301.45</v>
      </c>
      <c r="F57" s="97">
        <f t="shared" si="1"/>
        <v>456.34</v>
      </c>
      <c r="G57" s="71">
        <f t="shared" si="2"/>
        <v>7757.79</v>
      </c>
    </row>
    <row r="58" spans="1:7" ht="12.75">
      <c r="A58" s="115" t="s">
        <v>42</v>
      </c>
      <c r="B58" s="115"/>
      <c r="C58" s="115"/>
      <c r="D58" s="96">
        <f>IF($A$48&lt;VALUE(LEFT(A58,2))," ",DATE(YEAR(D57+30),MONTH(D57+30),DAY(D57)))</f>
        <v>44182</v>
      </c>
      <c r="E58" s="69">
        <f>IF($A$48&lt;VALUE(LEFT(A58,2))," ",IF($A$48=VALUE(LEFT(A58,2)),$G$44-($E$49*($A$48-1)),E57))</f>
        <v>7301.45</v>
      </c>
      <c r="F58" s="97">
        <f>IF($A$48&lt;VALUE(LEFT(A58,2))," ",IF($A$48=VALUE(LEFT(A58,2)),$G$45-($F$49*($A$48-1)),F57))</f>
        <v>456.34</v>
      </c>
      <c r="G58" s="71">
        <f>IF($A$48&lt;VALUE(LEFT(A58,2))," ",SUM(E58:F58))</f>
        <v>7757.79</v>
      </c>
    </row>
    <row r="59" spans="1:7" ht="12.75">
      <c r="A59" s="115" t="s">
        <v>43</v>
      </c>
      <c r="B59" s="115"/>
      <c r="C59" s="115"/>
      <c r="D59" s="96">
        <f aca="true" t="shared" si="4" ref="D59:D83">IF($A$48&lt;VALUE(LEFT(A59,2))," ",DATE(YEAR(D58+30),MONTH(D58+30),DAY(D58)))</f>
        <v>44213</v>
      </c>
      <c r="E59" s="69">
        <f aca="true" t="shared" si="5" ref="E59:E83">IF($A$48&lt;VALUE(LEFT(A59,2))," ",IF($A$48=VALUE(LEFT(A59,2)),$G$44-($E$49*($A$48-1)),E58))</f>
        <v>7301.45</v>
      </c>
      <c r="F59" s="97">
        <f aca="true" t="shared" si="6" ref="F59:F83">IF($A$48&lt;VALUE(LEFT(A59,2))," ",IF($A$48=VALUE(LEFT(A59,2)),$G$45-($F$49*($A$48-1)),F58))</f>
        <v>456.34</v>
      </c>
      <c r="G59" s="71">
        <f aca="true" t="shared" si="7" ref="G59:G83">IF($A$48&lt;VALUE(LEFT(A59,2))," ",SUM(E59:F59))</f>
        <v>7757.79</v>
      </c>
    </row>
    <row r="60" spans="1:7" ht="12.75">
      <c r="A60" s="115" t="s">
        <v>44</v>
      </c>
      <c r="B60" s="115"/>
      <c r="C60" s="115"/>
      <c r="D60" s="96">
        <f t="shared" si="4"/>
        <v>44244</v>
      </c>
      <c r="E60" s="69">
        <f t="shared" si="5"/>
        <v>7301.45</v>
      </c>
      <c r="F60" s="97">
        <f t="shared" si="6"/>
        <v>456.34</v>
      </c>
      <c r="G60" s="71">
        <f t="shared" si="7"/>
        <v>7757.79</v>
      </c>
    </row>
    <row r="61" spans="1:7" ht="12.75">
      <c r="A61" s="115" t="s">
        <v>45</v>
      </c>
      <c r="B61" s="115"/>
      <c r="C61" s="115"/>
      <c r="D61" s="96">
        <f t="shared" si="4"/>
        <v>44272</v>
      </c>
      <c r="E61" s="69">
        <f t="shared" si="5"/>
        <v>7301.45</v>
      </c>
      <c r="F61" s="97">
        <f t="shared" si="6"/>
        <v>456.34</v>
      </c>
      <c r="G61" s="71">
        <f t="shared" si="7"/>
        <v>7757.79</v>
      </c>
    </row>
    <row r="62" spans="1:7" ht="12.75">
      <c r="A62" s="115" t="s">
        <v>46</v>
      </c>
      <c r="B62" s="115"/>
      <c r="C62" s="115"/>
      <c r="D62" s="96">
        <f t="shared" si="4"/>
        <v>44303</v>
      </c>
      <c r="E62" s="69">
        <f t="shared" si="5"/>
        <v>7301.45</v>
      </c>
      <c r="F62" s="97">
        <f t="shared" si="6"/>
        <v>456.34</v>
      </c>
      <c r="G62" s="71">
        <f t="shared" si="7"/>
        <v>7757.79</v>
      </c>
    </row>
    <row r="63" spans="1:7" ht="12.75">
      <c r="A63" s="115" t="s">
        <v>47</v>
      </c>
      <c r="B63" s="115"/>
      <c r="C63" s="115"/>
      <c r="D63" s="96">
        <f t="shared" si="4"/>
        <v>44333</v>
      </c>
      <c r="E63" s="69">
        <f t="shared" si="5"/>
        <v>7301.45</v>
      </c>
      <c r="F63" s="97">
        <f t="shared" si="6"/>
        <v>456.34</v>
      </c>
      <c r="G63" s="71">
        <f t="shared" si="7"/>
        <v>7757.79</v>
      </c>
    </row>
    <row r="64" spans="1:7" ht="12.75">
      <c r="A64" s="115" t="s">
        <v>48</v>
      </c>
      <c r="B64" s="115"/>
      <c r="C64" s="115"/>
      <c r="D64" s="96">
        <f t="shared" si="4"/>
        <v>44364</v>
      </c>
      <c r="E64" s="69">
        <f t="shared" si="5"/>
        <v>7301.45</v>
      </c>
      <c r="F64" s="97">
        <f t="shared" si="6"/>
        <v>456.34</v>
      </c>
      <c r="G64" s="71">
        <f t="shared" si="7"/>
        <v>7757.79</v>
      </c>
    </row>
    <row r="65" spans="1:7" ht="12.75">
      <c r="A65" s="115" t="s">
        <v>49</v>
      </c>
      <c r="B65" s="115"/>
      <c r="C65" s="115"/>
      <c r="D65" s="96">
        <f t="shared" si="4"/>
        <v>44394</v>
      </c>
      <c r="E65" s="69">
        <f t="shared" si="5"/>
        <v>7301.45</v>
      </c>
      <c r="F65" s="97">
        <f t="shared" si="6"/>
        <v>456.34</v>
      </c>
      <c r="G65" s="71">
        <f t="shared" si="7"/>
        <v>7757.79</v>
      </c>
    </row>
    <row r="66" spans="1:7" ht="12.75">
      <c r="A66" s="115" t="s">
        <v>50</v>
      </c>
      <c r="B66" s="115"/>
      <c r="C66" s="115"/>
      <c r="D66" s="96">
        <f t="shared" si="4"/>
        <v>44425</v>
      </c>
      <c r="E66" s="69">
        <f t="shared" si="5"/>
        <v>7301.45</v>
      </c>
      <c r="F66" s="97">
        <f t="shared" si="6"/>
        <v>456.34</v>
      </c>
      <c r="G66" s="71">
        <f t="shared" si="7"/>
        <v>7757.79</v>
      </c>
    </row>
    <row r="67" spans="1:7" ht="12.75">
      <c r="A67" s="115" t="s">
        <v>51</v>
      </c>
      <c r="B67" s="115"/>
      <c r="C67" s="115"/>
      <c r="D67" s="96">
        <f t="shared" si="4"/>
        <v>44456</v>
      </c>
      <c r="E67" s="69">
        <f t="shared" si="5"/>
        <v>7301.45</v>
      </c>
      <c r="F67" s="97">
        <f t="shared" si="6"/>
        <v>456.34</v>
      </c>
      <c r="G67" s="71">
        <f t="shared" si="7"/>
        <v>7757.79</v>
      </c>
    </row>
    <row r="68" spans="1:7" ht="12.75">
      <c r="A68" s="115" t="s">
        <v>52</v>
      </c>
      <c r="B68" s="115"/>
      <c r="C68" s="115"/>
      <c r="D68" s="96">
        <f t="shared" si="4"/>
        <v>44486</v>
      </c>
      <c r="E68" s="69">
        <f t="shared" si="5"/>
        <v>7301.45</v>
      </c>
      <c r="F68" s="97">
        <f t="shared" si="6"/>
        <v>456.34</v>
      </c>
      <c r="G68" s="71">
        <f t="shared" si="7"/>
        <v>7757.79</v>
      </c>
    </row>
    <row r="69" spans="1:7" ht="12.75">
      <c r="A69" s="115" t="s">
        <v>53</v>
      </c>
      <c r="B69" s="115"/>
      <c r="C69" s="115"/>
      <c r="D69" s="96">
        <f t="shared" si="4"/>
        <v>44517</v>
      </c>
      <c r="E69" s="69">
        <f t="shared" si="5"/>
        <v>7301.45</v>
      </c>
      <c r="F69" s="97">
        <f t="shared" si="6"/>
        <v>456.34</v>
      </c>
      <c r="G69" s="71">
        <f t="shared" si="7"/>
        <v>7757.79</v>
      </c>
    </row>
    <row r="70" spans="1:7" ht="12.75">
      <c r="A70" s="115" t="s">
        <v>54</v>
      </c>
      <c r="B70" s="115"/>
      <c r="C70" s="115"/>
      <c r="D70" s="96">
        <f t="shared" si="4"/>
        <v>44547</v>
      </c>
      <c r="E70" s="69">
        <f t="shared" si="5"/>
        <v>7301.45</v>
      </c>
      <c r="F70" s="97">
        <f t="shared" si="6"/>
        <v>456.34</v>
      </c>
      <c r="G70" s="71">
        <f t="shared" si="7"/>
        <v>7757.79</v>
      </c>
    </row>
    <row r="71" spans="1:7" ht="12.75">
      <c r="A71" s="115" t="s">
        <v>55</v>
      </c>
      <c r="B71" s="115"/>
      <c r="C71" s="115"/>
      <c r="D71" s="96">
        <f t="shared" si="4"/>
        <v>44578</v>
      </c>
      <c r="E71" s="69">
        <f t="shared" si="5"/>
        <v>7301.45</v>
      </c>
      <c r="F71" s="97">
        <f t="shared" si="6"/>
        <v>456.34</v>
      </c>
      <c r="G71" s="71">
        <f t="shared" si="7"/>
        <v>7757.79</v>
      </c>
    </row>
    <row r="72" spans="1:7" ht="12.75">
      <c r="A72" s="115" t="s">
        <v>56</v>
      </c>
      <c r="B72" s="115"/>
      <c r="C72" s="115"/>
      <c r="D72" s="96">
        <f t="shared" si="4"/>
        <v>44609</v>
      </c>
      <c r="E72" s="69">
        <f t="shared" si="5"/>
        <v>7301.45</v>
      </c>
      <c r="F72" s="97">
        <f t="shared" si="6"/>
        <v>456.34</v>
      </c>
      <c r="G72" s="71">
        <f t="shared" si="7"/>
        <v>7757.79</v>
      </c>
    </row>
    <row r="73" spans="1:7" ht="12.75">
      <c r="A73" s="115" t="s">
        <v>57</v>
      </c>
      <c r="B73" s="115"/>
      <c r="C73" s="115"/>
      <c r="D73" s="96">
        <f t="shared" si="4"/>
        <v>44637</v>
      </c>
      <c r="E73" s="69">
        <f t="shared" si="5"/>
        <v>7301.45</v>
      </c>
      <c r="F73" s="97">
        <f t="shared" si="6"/>
        <v>456.34</v>
      </c>
      <c r="G73" s="71">
        <f t="shared" si="7"/>
        <v>7757.79</v>
      </c>
    </row>
    <row r="74" spans="1:7" ht="12.75">
      <c r="A74" s="115" t="s">
        <v>58</v>
      </c>
      <c r="B74" s="115"/>
      <c r="C74" s="115"/>
      <c r="D74" s="96">
        <f t="shared" si="4"/>
        <v>44668</v>
      </c>
      <c r="E74" s="69">
        <f t="shared" si="5"/>
        <v>7301.45</v>
      </c>
      <c r="F74" s="97">
        <f t="shared" si="6"/>
        <v>456.34</v>
      </c>
      <c r="G74" s="71">
        <f t="shared" si="7"/>
        <v>7757.79</v>
      </c>
    </row>
    <row r="75" spans="1:7" ht="12.75">
      <c r="A75" s="115" t="s">
        <v>59</v>
      </c>
      <c r="B75" s="115"/>
      <c r="C75" s="115"/>
      <c r="D75" s="96">
        <f t="shared" si="4"/>
        <v>44698</v>
      </c>
      <c r="E75" s="69">
        <f t="shared" si="5"/>
        <v>7301.45</v>
      </c>
      <c r="F75" s="97">
        <f t="shared" si="6"/>
        <v>456.34</v>
      </c>
      <c r="G75" s="71">
        <f t="shared" si="7"/>
        <v>7757.79</v>
      </c>
    </row>
    <row r="76" spans="1:7" ht="12.75">
      <c r="A76" s="115" t="s">
        <v>60</v>
      </c>
      <c r="B76" s="115"/>
      <c r="C76" s="115"/>
      <c r="D76" s="96">
        <f t="shared" si="4"/>
        <v>44729</v>
      </c>
      <c r="E76" s="69">
        <f t="shared" si="5"/>
        <v>7301.45</v>
      </c>
      <c r="F76" s="97">
        <f t="shared" si="6"/>
        <v>456.34</v>
      </c>
      <c r="G76" s="71">
        <f t="shared" si="7"/>
        <v>7757.79</v>
      </c>
    </row>
    <row r="77" spans="1:7" ht="12.75">
      <c r="A77" s="115" t="s">
        <v>61</v>
      </c>
      <c r="B77" s="115"/>
      <c r="C77" s="115"/>
      <c r="D77" s="96">
        <f t="shared" si="4"/>
        <v>44759</v>
      </c>
      <c r="E77" s="69">
        <f t="shared" si="5"/>
        <v>7301.45</v>
      </c>
      <c r="F77" s="97">
        <f t="shared" si="6"/>
        <v>456.34</v>
      </c>
      <c r="G77" s="71">
        <f t="shared" si="7"/>
        <v>7757.79</v>
      </c>
    </row>
    <row r="78" spans="1:7" ht="12.75">
      <c r="A78" s="115" t="s">
        <v>62</v>
      </c>
      <c r="B78" s="115"/>
      <c r="C78" s="115"/>
      <c r="D78" s="96">
        <f t="shared" si="4"/>
        <v>44790</v>
      </c>
      <c r="E78" s="69">
        <f t="shared" si="5"/>
        <v>7301.45</v>
      </c>
      <c r="F78" s="97">
        <f t="shared" si="6"/>
        <v>456.34</v>
      </c>
      <c r="G78" s="71">
        <f t="shared" si="7"/>
        <v>7757.79</v>
      </c>
    </row>
    <row r="79" spans="1:7" ht="12.75">
      <c r="A79" s="115" t="s">
        <v>63</v>
      </c>
      <c r="B79" s="115"/>
      <c r="C79" s="115"/>
      <c r="D79" s="96">
        <f t="shared" si="4"/>
        <v>44821</v>
      </c>
      <c r="E79" s="69">
        <f t="shared" si="5"/>
        <v>7301.45</v>
      </c>
      <c r="F79" s="97">
        <f t="shared" si="6"/>
        <v>456.34</v>
      </c>
      <c r="G79" s="71">
        <f t="shared" si="7"/>
        <v>7757.79</v>
      </c>
    </row>
    <row r="80" spans="1:7" ht="12.75">
      <c r="A80" s="115" t="s">
        <v>64</v>
      </c>
      <c r="B80" s="115"/>
      <c r="C80" s="115"/>
      <c r="D80" s="96">
        <f t="shared" si="4"/>
        <v>44851</v>
      </c>
      <c r="E80" s="69">
        <f t="shared" si="5"/>
        <v>7301.45</v>
      </c>
      <c r="F80" s="97">
        <f t="shared" si="6"/>
        <v>456.34</v>
      </c>
      <c r="G80" s="71">
        <f t="shared" si="7"/>
        <v>7757.79</v>
      </c>
    </row>
    <row r="81" spans="1:7" ht="12.75">
      <c r="A81" s="115" t="s">
        <v>65</v>
      </c>
      <c r="B81" s="115"/>
      <c r="C81" s="115"/>
      <c r="D81" s="96">
        <f t="shared" si="4"/>
        <v>44882</v>
      </c>
      <c r="E81" s="69">
        <f t="shared" si="5"/>
        <v>7301.45</v>
      </c>
      <c r="F81" s="97">
        <f t="shared" si="6"/>
        <v>456.34</v>
      </c>
      <c r="G81" s="71">
        <f t="shared" si="7"/>
        <v>7757.79</v>
      </c>
    </row>
    <row r="82" spans="1:7" ht="12.75">
      <c r="A82" s="115" t="s">
        <v>66</v>
      </c>
      <c r="B82" s="115"/>
      <c r="C82" s="115"/>
      <c r="D82" s="96">
        <f t="shared" si="4"/>
        <v>44912</v>
      </c>
      <c r="E82" s="69">
        <f t="shared" si="5"/>
        <v>7301.45</v>
      </c>
      <c r="F82" s="97">
        <f t="shared" si="6"/>
        <v>456.34</v>
      </c>
      <c r="G82" s="71">
        <f t="shared" si="7"/>
        <v>7757.79</v>
      </c>
    </row>
    <row r="83" spans="1:7" ht="12.75">
      <c r="A83" s="115" t="s">
        <v>67</v>
      </c>
      <c r="B83" s="115"/>
      <c r="C83" s="115"/>
      <c r="D83" s="96">
        <f t="shared" si="4"/>
        <v>44943</v>
      </c>
      <c r="E83" s="69">
        <f t="shared" si="5"/>
        <v>7301.45</v>
      </c>
      <c r="F83" s="97">
        <f t="shared" si="6"/>
        <v>456.34</v>
      </c>
      <c r="G83" s="71">
        <f t="shared" si="7"/>
        <v>7757.79</v>
      </c>
    </row>
    <row r="84" spans="1:7" ht="12.75">
      <c r="A84" s="115" t="s">
        <v>68</v>
      </c>
      <c r="B84" s="115"/>
      <c r="C84" s="115"/>
      <c r="D84" s="96">
        <f>IF($A$48&lt;VALUE(LEFT(A84,2))," ",DATE(YEAR(D83+30),MONTH(D83+30),DAY(D83)))</f>
        <v>44974</v>
      </c>
      <c r="E84" s="69">
        <f>IF($A$48&lt;VALUE(LEFT(A84,2))," ",IF($A$48=VALUE(LEFT(A84,2)),$G$44-($E$49*($A$48-1)),E83))</f>
        <v>7301.45</v>
      </c>
      <c r="F84" s="97">
        <f>IF($A$48&lt;VALUE(LEFT(A84,2))," ",IF($A$48=VALUE(LEFT(A84,2)),$G$45-($F$49*($A$48-1)),F83))</f>
        <v>456.34</v>
      </c>
      <c r="G84" s="71">
        <f>IF($A$48&lt;VALUE(LEFT(A84,2))," ",SUM(E84:F84))</f>
        <v>7757.79</v>
      </c>
    </row>
    <row r="85" spans="1:7" ht="12.75">
      <c r="A85" s="115" t="s">
        <v>89</v>
      </c>
      <c r="B85" s="115"/>
      <c r="C85" s="115"/>
      <c r="D85" s="96">
        <f aca="true" t="shared" si="8" ref="D85:D108">IF($A$48&lt;VALUE(LEFT(A85,2))," ",DATE(YEAR(D84+30),MONTH(D84+30),DAY(D84)))</f>
        <v>45002</v>
      </c>
      <c r="E85" s="69">
        <f aca="true" t="shared" si="9" ref="E85:E108">IF($A$48&lt;VALUE(LEFT(A85,2))," ",IF($A$48=VALUE(LEFT(A85,2)),$G$44-($E$49*($A$48-1)),E84))</f>
        <v>7301.45</v>
      </c>
      <c r="F85" s="97">
        <f aca="true" t="shared" si="10" ref="F85:F108">IF($A$48&lt;VALUE(LEFT(A85,2))," ",IF($A$48=VALUE(LEFT(A85,2)),$G$45-($F$49*($A$48-1)),F84))</f>
        <v>456.34</v>
      </c>
      <c r="G85" s="71">
        <f aca="true" t="shared" si="11" ref="G85:G108">IF($A$48&lt;VALUE(LEFT(A85,2))," ",SUM(E85:F85))</f>
        <v>7757.79</v>
      </c>
    </row>
    <row r="86" spans="1:7" ht="12.75">
      <c r="A86" s="115" t="s">
        <v>90</v>
      </c>
      <c r="B86" s="115"/>
      <c r="C86" s="115"/>
      <c r="D86" s="96">
        <f t="shared" si="8"/>
        <v>45033</v>
      </c>
      <c r="E86" s="69">
        <f t="shared" si="9"/>
        <v>7301.45</v>
      </c>
      <c r="F86" s="97">
        <f t="shared" si="10"/>
        <v>456.34</v>
      </c>
      <c r="G86" s="71">
        <f t="shared" si="11"/>
        <v>7757.79</v>
      </c>
    </row>
    <row r="87" spans="1:7" ht="12.75">
      <c r="A87" s="115" t="s">
        <v>91</v>
      </c>
      <c r="B87" s="115"/>
      <c r="C87" s="115"/>
      <c r="D87" s="96">
        <f t="shared" si="8"/>
        <v>45063</v>
      </c>
      <c r="E87" s="69">
        <f t="shared" si="9"/>
        <v>7301.45</v>
      </c>
      <c r="F87" s="97">
        <f t="shared" si="10"/>
        <v>456.34</v>
      </c>
      <c r="G87" s="71">
        <f t="shared" si="11"/>
        <v>7757.79</v>
      </c>
    </row>
    <row r="88" spans="1:7" ht="12.75">
      <c r="A88" s="115" t="s">
        <v>92</v>
      </c>
      <c r="B88" s="115"/>
      <c r="C88" s="115"/>
      <c r="D88" s="96">
        <f t="shared" si="8"/>
        <v>45094</v>
      </c>
      <c r="E88" s="69">
        <f t="shared" si="9"/>
        <v>7301.45</v>
      </c>
      <c r="F88" s="97">
        <f t="shared" si="10"/>
        <v>456.34</v>
      </c>
      <c r="G88" s="71">
        <f t="shared" si="11"/>
        <v>7757.79</v>
      </c>
    </row>
    <row r="89" spans="1:7" ht="12.75">
      <c r="A89" s="115" t="s">
        <v>93</v>
      </c>
      <c r="B89" s="115"/>
      <c r="C89" s="115"/>
      <c r="D89" s="96">
        <f t="shared" si="8"/>
        <v>45124</v>
      </c>
      <c r="E89" s="69">
        <f t="shared" si="9"/>
        <v>7301.45</v>
      </c>
      <c r="F89" s="97">
        <f t="shared" si="10"/>
        <v>456.34</v>
      </c>
      <c r="G89" s="71">
        <f t="shared" si="11"/>
        <v>7757.79</v>
      </c>
    </row>
    <row r="90" spans="1:7" ht="12.75">
      <c r="A90" s="115" t="s">
        <v>94</v>
      </c>
      <c r="B90" s="115"/>
      <c r="C90" s="115"/>
      <c r="D90" s="96">
        <f t="shared" si="8"/>
        <v>45155</v>
      </c>
      <c r="E90" s="69">
        <f t="shared" si="9"/>
        <v>7301.45</v>
      </c>
      <c r="F90" s="97">
        <f t="shared" si="10"/>
        <v>456.34</v>
      </c>
      <c r="G90" s="71">
        <f t="shared" si="11"/>
        <v>7757.79</v>
      </c>
    </row>
    <row r="91" spans="1:7" ht="12.75">
      <c r="A91" s="115" t="s">
        <v>95</v>
      </c>
      <c r="B91" s="115"/>
      <c r="C91" s="115"/>
      <c r="D91" s="96">
        <f t="shared" si="8"/>
        <v>45186</v>
      </c>
      <c r="E91" s="69">
        <f t="shared" si="9"/>
        <v>7301.45</v>
      </c>
      <c r="F91" s="97">
        <f t="shared" si="10"/>
        <v>456.34</v>
      </c>
      <c r="G91" s="71">
        <f t="shared" si="11"/>
        <v>7757.79</v>
      </c>
    </row>
    <row r="92" spans="1:7" ht="12.75">
      <c r="A92" s="115" t="s">
        <v>96</v>
      </c>
      <c r="B92" s="115"/>
      <c r="C92" s="115"/>
      <c r="D92" s="96">
        <f t="shared" si="8"/>
        <v>45216</v>
      </c>
      <c r="E92" s="69">
        <f t="shared" si="9"/>
        <v>7301.45</v>
      </c>
      <c r="F92" s="97">
        <f t="shared" si="10"/>
        <v>456.34</v>
      </c>
      <c r="G92" s="71">
        <f t="shared" si="11"/>
        <v>7757.79</v>
      </c>
    </row>
    <row r="93" spans="1:7" ht="12.75">
      <c r="A93" s="115" t="s">
        <v>97</v>
      </c>
      <c r="B93" s="115"/>
      <c r="C93" s="115"/>
      <c r="D93" s="96">
        <f t="shared" si="8"/>
        <v>45247</v>
      </c>
      <c r="E93" s="69">
        <f t="shared" si="9"/>
        <v>7301.45</v>
      </c>
      <c r="F93" s="97">
        <f t="shared" si="10"/>
        <v>456.34</v>
      </c>
      <c r="G93" s="71">
        <f t="shared" si="11"/>
        <v>7757.79</v>
      </c>
    </row>
    <row r="94" spans="1:7" ht="12.75">
      <c r="A94" s="115" t="s">
        <v>98</v>
      </c>
      <c r="B94" s="115"/>
      <c r="C94" s="115"/>
      <c r="D94" s="96">
        <f t="shared" si="8"/>
        <v>45277</v>
      </c>
      <c r="E94" s="69">
        <f t="shared" si="9"/>
        <v>7301.45</v>
      </c>
      <c r="F94" s="97">
        <f t="shared" si="10"/>
        <v>456.34</v>
      </c>
      <c r="G94" s="71">
        <f t="shared" si="11"/>
        <v>7757.79</v>
      </c>
    </row>
    <row r="95" spans="1:7" ht="12.75">
      <c r="A95" s="115" t="s">
        <v>99</v>
      </c>
      <c r="B95" s="115"/>
      <c r="C95" s="115"/>
      <c r="D95" s="96">
        <f t="shared" si="8"/>
        <v>45308</v>
      </c>
      <c r="E95" s="69">
        <f t="shared" si="9"/>
        <v>7301.45</v>
      </c>
      <c r="F95" s="97">
        <f t="shared" si="10"/>
        <v>456.34</v>
      </c>
      <c r="G95" s="71">
        <f t="shared" si="11"/>
        <v>7757.79</v>
      </c>
    </row>
    <row r="96" spans="1:7" ht="12.75">
      <c r="A96" s="115" t="s">
        <v>100</v>
      </c>
      <c r="B96" s="115"/>
      <c r="C96" s="115"/>
      <c r="D96" s="96">
        <f t="shared" si="8"/>
        <v>45339</v>
      </c>
      <c r="E96" s="69">
        <f t="shared" si="9"/>
        <v>7301.45</v>
      </c>
      <c r="F96" s="97">
        <f t="shared" si="10"/>
        <v>456.34</v>
      </c>
      <c r="G96" s="71">
        <f t="shared" si="11"/>
        <v>7757.79</v>
      </c>
    </row>
    <row r="97" spans="1:7" ht="12.75">
      <c r="A97" s="115" t="s">
        <v>101</v>
      </c>
      <c r="B97" s="115"/>
      <c r="C97" s="115"/>
      <c r="D97" s="96">
        <f t="shared" si="8"/>
        <v>45368</v>
      </c>
      <c r="E97" s="69">
        <f t="shared" si="9"/>
        <v>7301.45</v>
      </c>
      <c r="F97" s="97">
        <f t="shared" si="10"/>
        <v>456.34</v>
      </c>
      <c r="G97" s="71">
        <f t="shared" si="11"/>
        <v>7757.79</v>
      </c>
    </row>
    <row r="98" spans="1:7" ht="12.75">
      <c r="A98" s="115" t="s">
        <v>102</v>
      </c>
      <c r="B98" s="115"/>
      <c r="C98" s="115"/>
      <c r="D98" s="96">
        <f t="shared" si="8"/>
        <v>45399</v>
      </c>
      <c r="E98" s="69">
        <f t="shared" si="9"/>
        <v>7301.45</v>
      </c>
      <c r="F98" s="97">
        <f t="shared" si="10"/>
        <v>456.34</v>
      </c>
      <c r="G98" s="71">
        <f t="shared" si="11"/>
        <v>7757.79</v>
      </c>
    </row>
    <row r="99" spans="1:7" ht="12.75">
      <c r="A99" s="115" t="s">
        <v>103</v>
      </c>
      <c r="B99" s="115"/>
      <c r="C99" s="115"/>
      <c r="D99" s="96">
        <f t="shared" si="8"/>
        <v>45429</v>
      </c>
      <c r="E99" s="69">
        <f t="shared" si="9"/>
        <v>7301.45</v>
      </c>
      <c r="F99" s="97">
        <f t="shared" si="10"/>
        <v>456.34</v>
      </c>
      <c r="G99" s="71">
        <f t="shared" si="11"/>
        <v>7757.79</v>
      </c>
    </row>
    <row r="100" spans="1:7" ht="12.75">
      <c r="A100" s="115" t="s">
        <v>104</v>
      </c>
      <c r="B100" s="115"/>
      <c r="C100" s="115"/>
      <c r="D100" s="96">
        <f t="shared" si="8"/>
        <v>45460</v>
      </c>
      <c r="E100" s="69">
        <f t="shared" si="9"/>
        <v>7301.45</v>
      </c>
      <c r="F100" s="97">
        <f t="shared" si="10"/>
        <v>456.34</v>
      </c>
      <c r="G100" s="71">
        <f t="shared" si="11"/>
        <v>7757.79</v>
      </c>
    </row>
    <row r="101" spans="1:7" ht="12.75">
      <c r="A101" s="115" t="s">
        <v>105</v>
      </c>
      <c r="B101" s="115"/>
      <c r="C101" s="115"/>
      <c r="D101" s="96">
        <f t="shared" si="8"/>
        <v>45490</v>
      </c>
      <c r="E101" s="69">
        <f t="shared" si="9"/>
        <v>7301.45</v>
      </c>
      <c r="F101" s="97">
        <f t="shared" si="10"/>
        <v>456.34</v>
      </c>
      <c r="G101" s="71">
        <f t="shared" si="11"/>
        <v>7757.79</v>
      </c>
    </row>
    <row r="102" spans="1:7" ht="12.75">
      <c r="A102" s="115" t="s">
        <v>106</v>
      </c>
      <c r="B102" s="115"/>
      <c r="C102" s="115"/>
      <c r="D102" s="96">
        <f t="shared" si="8"/>
        <v>45521</v>
      </c>
      <c r="E102" s="69">
        <f t="shared" si="9"/>
        <v>7301.45</v>
      </c>
      <c r="F102" s="97">
        <f t="shared" si="10"/>
        <v>456.34</v>
      </c>
      <c r="G102" s="71">
        <f t="shared" si="11"/>
        <v>7757.79</v>
      </c>
    </row>
    <row r="103" spans="1:7" ht="12.75">
      <c r="A103" s="115" t="s">
        <v>107</v>
      </c>
      <c r="B103" s="115"/>
      <c r="C103" s="115"/>
      <c r="D103" s="96">
        <f t="shared" si="8"/>
        <v>45552</v>
      </c>
      <c r="E103" s="69">
        <f t="shared" si="9"/>
        <v>7301.45</v>
      </c>
      <c r="F103" s="97">
        <f t="shared" si="10"/>
        <v>456.34</v>
      </c>
      <c r="G103" s="71">
        <f t="shared" si="11"/>
        <v>7757.79</v>
      </c>
    </row>
    <row r="104" spans="1:7" ht="12.75">
      <c r="A104" s="115" t="s">
        <v>108</v>
      </c>
      <c r="B104" s="115"/>
      <c r="C104" s="115"/>
      <c r="D104" s="96">
        <f t="shared" si="8"/>
        <v>45582</v>
      </c>
      <c r="E104" s="69">
        <f t="shared" si="9"/>
        <v>7301.45</v>
      </c>
      <c r="F104" s="97">
        <f t="shared" si="10"/>
        <v>456.34</v>
      </c>
      <c r="G104" s="71">
        <f t="shared" si="11"/>
        <v>7757.79</v>
      </c>
    </row>
    <row r="105" spans="1:7" ht="12.75">
      <c r="A105" s="115" t="s">
        <v>109</v>
      </c>
      <c r="B105" s="115"/>
      <c r="C105" s="115"/>
      <c r="D105" s="96">
        <f t="shared" si="8"/>
        <v>45613</v>
      </c>
      <c r="E105" s="69">
        <f t="shared" si="9"/>
        <v>7301.45</v>
      </c>
      <c r="F105" s="97">
        <f t="shared" si="10"/>
        <v>456.34</v>
      </c>
      <c r="G105" s="71">
        <f t="shared" si="11"/>
        <v>7757.79</v>
      </c>
    </row>
    <row r="106" spans="1:7" ht="12.75">
      <c r="A106" s="115" t="s">
        <v>110</v>
      </c>
      <c r="B106" s="115"/>
      <c r="C106" s="115"/>
      <c r="D106" s="96">
        <f t="shared" si="8"/>
        <v>45643</v>
      </c>
      <c r="E106" s="69">
        <f t="shared" si="9"/>
        <v>7301.45</v>
      </c>
      <c r="F106" s="97">
        <f t="shared" si="10"/>
        <v>456.34</v>
      </c>
      <c r="G106" s="71">
        <f t="shared" si="11"/>
        <v>7757.79</v>
      </c>
    </row>
    <row r="107" spans="1:7" ht="12.75">
      <c r="A107" s="115" t="s">
        <v>111</v>
      </c>
      <c r="B107" s="115"/>
      <c r="C107" s="115"/>
      <c r="D107" s="96">
        <f t="shared" si="8"/>
        <v>45674</v>
      </c>
      <c r="E107" s="69">
        <f t="shared" si="9"/>
        <v>7301.45</v>
      </c>
      <c r="F107" s="97">
        <f t="shared" si="10"/>
        <v>456.34</v>
      </c>
      <c r="G107" s="71">
        <f t="shared" si="11"/>
        <v>7757.79</v>
      </c>
    </row>
    <row r="108" spans="1:7" ht="12.75">
      <c r="A108" s="115" t="s">
        <v>112</v>
      </c>
      <c r="B108" s="115"/>
      <c r="C108" s="115"/>
      <c r="D108" s="96">
        <f t="shared" si="8"/>
        <v>45705</v>
      </c>
      <c r="E108" s="69">
        <f t="shared" si="9"/>
        <v>7301.330000000016</v>
      </c>
      <c r="F108" s="97">
        <f t="shared" si="10"/>
        <v>456.3700000000026</v>
      </c>
      <c r="G108" s="71">
        <f t="shared" si="11"/>
        <v>7757.700000000019</v>
      </c>
    </row>
    <row r="109" spans="1:7" ht="12.75">
      <c r="A109" s="95"/>
      <c r="B109" s="95"/>
      <c r="C109" s="95"/>
      <c r="D109" s="96"/>
      <c r="E109" s="69"/>
      <c r="F109" s="97"/>
      <c r="G109" s="71"/>
    </row>
    <row r="110" spans="2:7" ht="12.75">
      <c r="B110" s="87"/>
      <c r="E110" s="83"/>
      <c r="F110" s="82"/>
      <c r="G110" s="88"/>
    </row>
    <row r="111" ht="12.75">
      <c r="A111" s="80" t="s">
        <v>123</v>
      </c>
    </row>
    <row r="112" spans="2:6" ht="12.75">
      <c r="B112" s="57" t="s">
        <v>124</v>
      </c>
      <c r="F112" s="98">
        <f>D103</f>
        <v>45552</v>
      </c>
    </row>
    <row r="113" spans="2:9" ht="12.75">
      <c r="B113" s="57" t="s">
        <v>125</v>
      </c>
      <c r="F113" s="98">
        <f>DATE(YEAR(MAX(D49:D108)+30),MONTH(MAX(D85:D108)+30),DAY(F112))</f>
        <v>45733</v>
      </c>
      <c r="G113" s="99">
        <f>ROUND(((G25+G26)*((100-A34)/100))+(G30*(100-A34)/100),2)</f>
        <v>3723738.48</v>
      </c>
      <c r="I113" s="71"/>
    </row>
    <row r="114" ht="12.75">
      <c r="B114" s="57" t="s">
        <v>126</v>
      </c>
    </row>
    <row r="116" spans="1:4" ht="12.75">
      <c r="A116" s="85" t="s">
        <v>69</v>
      </c>
      <c r="B116" s="100"/>
      <c r="C116" s="100"/>
      <c r="D116" s="100"/>
    </row>
    <row r="117" spans="1:7" s="73" customFormat="1" ht="12.75">
      <c r="A117" s="114" t="s">
        <v>114</v>
      </c>
      <c r="B117" s="114"/>
      <c r="C117" s="114"/>
      <c r="D117" s="114"/>
      <c r="E117" s="114"/>
      <c r="F117" s="114"/>
      <c r="G117" s="114"/>
    </row>
    <row r="118" spans="1:4" s="73" customFormat="1" ht="12.75">
      <c r="A118" s="102" t="s">
        <v>70</v>
      </c>
      <c r="B118" s="102"/>
      <c r="C118" s="102"/>
      <c r="D118" s="102"/>
    </row>
    <row r="119" spans="1:4" s="73" customFormat="1" ht="12.75">
      <c r="A119" s="102" t="s">
        <v>71</v>
      </c>
      <c r="B119" s="102"/>
      <c r="C119" s="102"/>
      <c r="D119" s="102"/>
    </row>
    <row r="120" spans="1:4" s="73" customFormat="1" ht="12.75">
      <c r="A120" s="102" t="s">
        <v>72</v>
      </c>
      <c r="B120" s="102"/>
      <c r="C120" s="102"/>
      <c r="D120" s="102"/>
    </row>
    <row r="121" spans="1:4" s="73" customFormat="1" ht="12.75">
      <c r="A121" s="101" t="s">
        <v>73</v>
      </c>
      <c r="B121" s="102"/>
      <c r="C121" s="102"/>
      <c r="D121" s="102"/>
    </row>
    <row r="122" spans="1:4" s="73" customFormat="1" ht="12.75">
      <c r="A122" s="101" t="s">
        <v>74</v>
      </c>
      <c r="B122" s="102"/>
      <c r="C122" s="102"/>
      <c r="D122" s="102"/>
    </row>
    <row r="123" spans="1:4" s="73" customFormat="1" ht="12.75">
      <c r="A123" s="101" t="s">
        <v>75</v>
      </c>
      <c r="B123" s="102"/>
      <c r="C123" s="102"/>
      <c r="D123" s="102"/>
    </row>
    <row r="124" spans="1:4" s="73" customFormat="1" ht="12.75">
      <c r="A124" s="101" t="s">
        <v>76</v>
      </c>
      <c r="B124" s="102"/>
      <c r="C124" s="102"/>
      <c r="D124" s="102"/>
    </row>
    <row r="125" spans="1:4" s="73" customFormat="1" ht="12.75">
      <c r="A125" s="101" t="s">
        <v>77</v>
      </c>
      <c r="B125" s="102"/>
      <c r="C125" s="102"/>
      <c r="D125" s="102"/>
    </row>
    <row r="126" spans="1:7" s="73" customFormat="1" ht="12.75">
      <c r="A126" s="114" t="s">
        <v>115</v>
      </c>
      <c r="B126" s="114"/>
      <c r="C126" s="114"/>
      <c r="D126" s="114"/>
      <c r="E126" s="114"/>
      <c r="F126" s="114"/>
      <c r="G126" s="114"/>
    </row>
  </sheetData>
  <sheetProtection/>
  <mergeCells count="68">
    <mergeCell ref="B2:F2"/>
    <mergeCell ref="B3:F3"/>
    <mergeCell ref="A4:G4"/>
    <mergeCell ref="F7:G7"/>
    <mergeCell ref="F8:G8"/>
    <mergeCell ref="B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17:G117"/>
    <mergeCell ref="A126:G126"/>
    <mergeCell ref="A103:C103"/>
    <mergeCell ref="A104:C104"/>
    <mergeCell ref="A105:C105"/>
    <mergeCell ref="A106:C106"/>
    <mergeCell ref="A107:C107"/>
    <mergeCell ref="A108:C108"/>
  </mergeCells>
  <conditionalFormatting sqref="B26 B12">
    <cfRule type="expression" priority="1" dxfId="13" stopIfTrue="1">
      <formula>G12=0</formula>
    </cfRule>
  </conditionalFormatting>
  <conditionalFormatting sqref="A50:C57">
    <cfRule type="expression" priority="2" dxfId="13" stopIfTrue="1">
      <formula>VALUE(NoDPSchedule)&lt;VALUE(LEFT(A50,1))</formula>
    </cfRule>
  </conditionalFormatting>
  <conditionalFormatting sqref="A58:C109">
    <cfRule type="expression" priority="3" dxfId="13" stopIfTrue="1">
      <formula>VALUE(NoDPSchedule)&lt;VALUE(LEFT(A58,2))</formula>
    </cfRule>
  </conditionalFormatting>
  <conditionalFormatting sqref="G12 G26">
    <cfRule type="expression" priority="4" dxfId="13" stopIfTrue="1">
      <formula>G12=0</formula>
    </cfRule>
  </conditionalFormatting>
  <conditionalFormatting sqref="D5">
    <cfRule type="expression" priority="5" dxfId="14" stopIfTrue="1">
      <formula>G6&lt;=TODAY()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AVIDA Magnaye, Noralyn E.</dc:creator>
  <cp:keywords/>
  <dc:description/>
  <cp:lastModifiedBy>AVIDA Ballesteros, Asther M.</cp:lastModifiedBy>
  <cp:lastPrinted>2019-09-14T09:03:38Z</cp:lastPrinted>
  <dcterms:created xsi:type="dcterms:W3CDTF">2019-05-22T03:14:51Z</dcterms:created>
  <dcterms:modified xsi:type="dcterms:W3CDTF">2020-01-18T06:19:06Z</dcterms:modified>
  <cp:category/>
  <cp:version/>
  <cp:contentType/>
  <cp:contentStatus/>
</cp:coreProperties>
</file>